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rpfile2\groups\311 Direct Services\Direct Service-Cross Dept\COMM Folder\Enrollment Mgmt webinar\"/>
    </mc:Choice>
  </mc:AlternateContent>
  <xr:revisionPtr revIDLastSave="0" documentId="13_ncr:1_{03ADA865-52A9-4EEF-835A-BCAEBE6A8145}" xr6:coauthVersionLast="41" xr6:coauthVersionMax="41" xr10:uidLastSave="{00000000-0000-0000-0000-000000000000}"/>
  <bookViews>
    <workbookView xWindow="-108" yWindow="-108" windowWidth="22200" windowHeight="13176" activeTab="1" xr2:uid="{00000000-000D-0000-FFFF-FFFF00000000}"/>
  </bookViews>
  <sheets>
    <sheet name="Our College Goals" sheetId="6" r:id="rId1"/>
    <sheet name="Enrollment Dashboard" sheetId="7" r:id="rId2"/>
    <sheet name="Executive Dashboard" sheetId="9" r:id="rId3"/>
    <sheet name="Individual Recruiter" sheetId="8" r:id="rId4"/>
    <sheet name="Benchmark Rates" sheetId="3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5" i="7" l="1"/>
  <c r="J6" i="7"/>
  <c r="J7" i="7"/>
  <c r="J8" i="7"/>
  <c r="J4" i="7"/>
  <c r="I5" i="7"/>
  <c r="I6" i="7"/>
  <c r="I7" i="7"/>
  <c r="I8" i="7"/>
  <c r="I4" i="7"/>
  <c r="K5" i="7"/>
  <c r="K6" i="7"/>
  <c r="K7" i="7"/>
  <c r="K8" i="7"/>
  <c r="K4" i="7"/>
  <c r="H5" i="7"/>
  <c r="H6" i="7"/>
  <c r="H7" i="7"/>
  <c r="H8" i="7"/>
  <c r="H4" i="7"/>
  <c r="G5" i="7"/>
  <c r="G6" i="7"/>
  <c r="G7" i="7"/>
  <c r="G8" i="7"/>
  <c r="G4" i="7"/>
  <c r="F5" i="7"/>
  <c r="F6" i="7"/>
  <c r="F7" i="7"/>
  <c r="F8" i="7"/>
  <c r="F4" i="7"/>
  <c r="E5" i="7"/>
  <c r="E6" i="7"/>
  <c r="E7" i="7"/>
  <c r="E8" i="7"/>
  <c r="E4" i="7"/>
  <c r="L4" i="7" l="1"/>
  <c r="L6" i="7"/>
  <c r="L5" i="7"/>
  <c r="L7" i="7"/>
  <c r="L8" i="7"/>
  <c r="R36" i="7" l="1"/>
  <c r="R37" i="7"/>
  <c r="R7" i="7"/>
  <c r="R8" i="7"/>
  <c r="R9" i="7"/>
  <c r="R10" i="7"/>
  <c r="R22" i="7"/>
  <c r="R33" i="7"/>
  <c r="R34" i="7"/>
  <c r="R35" i="7"/>
  <c r="R5" i="7"/>
  <c r="R6" i="7"/>
  <c r="R4" i="7"/>
  <c r="B37" i="7"/>
  <c r="B7" i="9" s="1"/>
  <c r="D7" i="9" s="1"/>
  <c r="C34" i="7"/>
  <c r="C22" i="7"/>
  <c r="C10" i="7"/>
  <c r="F23" i="6" l="1"/>
  <c r="F21" i="6"/>
  <c r="F20" i="6"/>
  <c r="B20" i="6"/>
  <c r="B21" i="6" s="1"/>
  <c r="B22" i="6" s="1"/>
  <c r="F19" i="6"/>
  <c r="F8" i="6"/>
  <c r="F6" i="6"/>
  <c r="F5" i="6"/>
  <c r="B5" i="6"/>
  <c r="F4" i="6"/>
  <c r="B6" i="6" l="1"/>
  <c r="B34" i="7"/>
  <c r="B28" i="6"/>
  <c r="B24" i="6" s="1"/>
  <c r="F51" i="3"/>
  <c r="F49" i="3"/>
  <c r="F48" i="3"/>
  <c r="B48" i="3"/>
  <c r="B49" i="3" s="1"/>
  <c r="B50" i="3" s="1"/>
  <c r="B56" i="3" s="1"/>
  <c r="F47" i="3"/>
  <c r="F37" i="3"/>
  <c r="F8" i="3"/>
  <c r="B45" i="7" l="1"/>
  <c r="B49" i="7"/>
  <c r="B48" i="7"/>
  <c r="B46" i="7"/>
  <c r="B44" i="7"/>
  <c r="B47" i="7"/>
  <c r="B40" i="7"/>
  <c r="B41" i="7"/>
  <c r="B42" i="7"/>
  <c r="B39" i="7"/>
  <c r="B6" i="9"/>
  <c r="D6" i="9" s="1"/>
  <c r="B7" i="6"/>
  <c r="B22" i="7"/>
  <c r="B27" i="6"/>
  <c r="B23" i="6" s="1"/>
  <c r="B55" i="3"/>
  <c r="B51" i="3"/>
  <c r="B52" i="3"/>
  <c r="O45" i="7" l="1"/>
  <c r="M47" i="7"/>
  <c r="N48" i="7"/>
  <c r="O49" i="7"/>
  <c r="W6" i="8" s="1"/>
  <c r="M45" i="7"/>
  <c r="N46" i="7"/>
  <c r="M49" i="7"/>
  <c r="O44" i="7"/>
  <c r="N45" i="7"/>
  <c r="O46" i="7"/>
  <c r="M48" i="7"/>
  <c r="R48" i="7" s="1"/>
  <c r="N49" i="7"/>
  <c r="U6" i="8" s="1"/>
  <c r="M44" i="7"/>
  <c r="M46" i="7"/>
  <c r="R46" i="7" s="1"/>
  <c r="N47" i="7"/>
  <c r="O48" i="7"/>
  <c r="N44" i="7"/>
  <c r="O47" i="7"/>
  <c r="N41" i="7"/>
  <c r="O41" i="7"/>
  <c r="M41" i="7"/>
  <c r="O39" i="7"/>
  <c r="M39" i="7"/>
  <c r="N39" i="7"/>
  <c r="M42" i="7"/>
  <c r="N42" i="7"/>
  <c r="O42" i="7"/>
  <c r="N40" i="7"/>
  <c r="O40" i="7"/>
  <c r="M40" i="7"/>
  <c r="B5" i="9"/>
  <c r="D5" i="9" s="1"/>
  <c r="B28" i="7"/>
  <c r="B32" i="7"/>
  <c r="B25" i="7"/>
  <c r="B23" i="7"/>
  <c r="B31" i="7"/>
  <c r="B24" i="7"/>
  <c r="B29" i="7"/>
  <c r="B27" i="7"/>
  <c r="B26" i="7"/>
  <c r="B30" i="7"/>
  <c r="B13" i="6"/>
  <c r="B10" i="7"/>
  <c r="R47" i="7" l="1"/>
  <c r="S6" i="8"/>
  <c r="R49" i="7"/>
  <c r="R42" i="7"/>
  <c r="R41" i="7"/>
  <c r="R44" i="7"/>
  <c r="R45" i="7"/>
  <c r="R40" i="7"/>
  <c r="R39" i="7"/>
  <c r="I28" i="7"/>
  <c r="M28" i="7"/>
  <c r="I29" i="7"/>
  <c r="M29" i="7"/>
  <c r="I30" i="7"/>
  <c r="M30" i="7"/>
  <c r="I31" i="7"/>
  <c r="M31" i="7"/>
  <c r="I32" i="7"/>
  <c r="M32" i="7"/>
  <c r="H27" i="7"/>
  <c r="G5" i="8" s="1"/>
  <c r="F30" i="7"/>
  <c r="K28" i="7"/>
  <c r="K29" i="7"/>
  <c r="G30" i="7"/>
  <c r="G31" i="7"/>
  <c r="K31" i="7"/>
  <c r="K32" i="7"/>
  <c r="L27" i="7"/>
  <c r="Q5" i="8" s="1"/>
  <c r="F28" i="7"/>
  <c r="F32" i="7"/>
  <c r="H28" i="7"/>
  <c r="H29" i="7"/>
  <c r="L29" i="7"/>
  <c r="H30" i="7"/>
  <c r="L30" i="7"/>
  <c r="H31" i="7"/>
  <c r="H32" i="7"/>
  <c r="L32" i="7"/>
  <c r="I27" i="7"/>
  <c r="F29" i="7"/>
  <c r="J28" i="7"/>
  <c r="J29" i="7"/>
  <c r="J30" i="7"/>
  <c r="J31" i="7"/>
  <c r="J32" i="7"/>
  <c r="K27" i="7"/>
  <c r="O5" i="8" s="1"/>
  <c r="G27" i="7"/>
  <c r="E5" i="8" s="1"/>
  <c r="F31" i="7"/>
  <c r="G28" i="7"/>
  <c r="G29" i="7"/>
  <c r="K30" i="7"/>
  <c r="G32" i="7"/>
  <c r="J27" i="7"/>
  <c r="M5" i="8" s="1"/>
  <c r="L28" i="7"/>
  <c r="L31" i="7"/>
  <c r="M27" i="7"/>
  <c r="S5" i="8" s="1"/>
  <c r="F27" i="7"/>
  <c r="H24" i="7"/>
  <c r="L24" i="7"/>
  <c r="H25" i="7"/>
  <c r="L25" i="7"/>
  <c r="G26" i="7"/>
  <c r="K26" i="7"/>
  <c r="H23" i="7"/>
  <c r="K23" i="7"/>
  <c r="F24" i="7"/>
  <c r="J24" i="7"/>
  <c r="J25" i="7"/>
  <c r="M23" i="7"/>
  <c r="G24" i="7"/>
  <c r="G25" i="7"/>
  <c r="K25" i="7"/>
  <c r="J26" i="7"/>
  <c r="I23" i="7"/>
  <c r="I24" i="7"/>
  <c r="M24" i="7"/>
  <c r="I25" i="7"/>
  <c r="M25" i="7"/>
  <c r="H26" i="7"/>
  <c r="L26" i="7"/>
  <c r="F23" i="7"/>
  <c r="J23" i="7"/>
  <c r="F25" i="7"/>
  <c r="I26" i="7"/>
  <c r="M26" i="7"/>
  <c r="G23" i="7"/>
  <c r="K24" i="7"/>
  <c r="F26" i="7"/>
  <c r="L23" i="7"/>
  <c r="B4" i="9"/>
  <c r="D4" i="9" s="1"/>
  <c r="B18" i="7"/>
  <c r="B19" i="7"/>
  <c r="B20" i="7"/>
  <c r="B17" i="7"/>
  <c r="B9" i="6"/>
  <c r="B12" i="6"/>
  <c r="F35" i="3"/>
  <c r="F34" i="3"/>
  <c r="B34" i="3"/>
  <c r="B35" i="3" s="1"/>
  <c r="B36" i="3" s="1"/>
  <c r="B42" i="3" s="1"/>
  <c r="F33" i="3"/>
  <c r="F22" i="3"/>
  <c r="F20" i="3"/>
  <c r="F19" i="3"/>
  <c r="B19" i="3"/>
  <c r="B20" i="3" s="1"/>
  <c r="B21" i="3" s="1"/>
  <c r="B27" i="3" s="1"/>
  <c r="F18" i="3"/>
  <c r="F6" i="3"/>
  <c r="F5" i="3"/>
  <c r="B5" i="3"/>
  <c r="B6" i="3" s="1"/>
  <c r="B7" i="3" s="1"/>
  <c r="B13" i="3" s="1"/>
  <c r="B9" i="3" s="1"/>
  <c r="F4" i="3"/>
  <c r="N26" i="7" l="1"/>
  <c r="N28" i="7"/>
  <c r="R28" i="7" s="1"/>
  <c r="N31" i="7"/>
  <c r="R31" i="7" s="1"/>
  <c r="N30" i="7"/>
  <c r="R30" i="7" s="1"/>
  <c r="N24" i="7"/>
  <c r="R24" i="7" s="1"/>
  <c r="N32" i="7"/>
  <c r="R32" i="7" s="1"/>
  <c r="C5" i="8"/>
  <c r="R26" i="7"/>
  <c r="N23" i="7"/>
  <c r="R23" i="7" s="1"/>
  <c r="K5" i="8"/>
  <c r="I5" i="8"/>
  <c r="N27" i="7"/>
  <c r="U5" i="8" s="1"/>
  <c r="N29" i="7"/>
  <c r="R29" i="7" s="1"/>
  <c r="N25" i="7"/>
  <c r="R25" i="7" s="1"/>
  <c r="E18" i="7"/>
  <c r="I18" i="7"/>
  <c r="E19" i="7"/>
  <c r="I19" i="7"/>
  <c r="H20" i="7"/>
  <c r="L20" i="7"/>
  <c r="H17" i="7"/>
  <c r="L17" i="7"/>
  <c r="G18" i="7"/>
  <c r="G19" i="7"/>
  <c r="K19" i="7"/>
  <c r="F20" i="7"/>
  <c r="J20" i="7"/>
  <c r="F17" i="7"/>
  <c r="L18" i="7"/>
  <c r="L19" i="7"/>
  <c r="G20" i="7"/>
  <c r="I17" i="7"/>
  <c r="E17" i="7"/>
  <c r="F18" i="7"/>
  <c r="J18" i="7"/>
  <c r="F19" i="7"/>
  <c r="J19" i="7"/>
  <c r="E20" i="7"/>
  <c r="I20" i="7"/>
  <c r="K17" i="7"/>
  <c r="G17" i="7"/>
  <c r="K18" i="7"/>
  <c r="J17" i="7"/>
  <c r="H18" i="7"/>
  <c r="H19" i="7"/>
  <c r="K20" i="7"/>
  <c r="B3" i="7"/>
  <c r="B8" i="6"/>
  <c r="B41" i="3"/>
  <c r="B37" i="3" s="1"/>
  <c r="B38" i="3"/>
  <c r="R27" i="7" l="1"/>
  <c r="B13" i="7"/>
  <c r="B11" i="7"/>
  <c r="B12" i="7"/>
  <c r="B14" i="7"/>
  <c r="B15" i="7"/>
  <c r="B16" i="7"/>
  <c r="M20" i="7"/>
  <c r="R20" i="7" s="1"/>
  <c r="M17" i="7"/>
  <c r="R17" i="7" s="1"/>
  <c r="M19" i="7"/>
  <c r="R19" i="7" s="1"/>
  <c r="M18" i="7"/>
  <c r="R18" i="7" s="1"/>
  <c r="B3" i="9"/>
  <c r="D3" i="9" s="1"/>
  <c r="B12" i="3"/>
  <c r="B8" i="3" s="1"/>
  <c r="B26" i="3"/>
  <c r="B22" i="3" s="1"/>
  <c r="B23" i="3"/>
  <c r="F16" i="7" l="1"/>
  <c r="J16" i="7"/>
  <c r="I16" i="7"/>
  <c r="G16" i="7"/>
  <c r="K16" i="7"/>
  <c r="H16" i="7"/>
  <c r="E16" i="7"/>
  <c r="K11" i="7"/>
  <c r="O4" i="8" s="1"/>
  <c r="E11" i="7"/>
  <c r="C4" i="8" s="1"/>
  <c r="I11" i="7"/>
  <c r="K4" i="8" s="1"/>
  <c r="H11" i="7"/>
  <c r="I4" i="8" s="1"/>
  <c r="G11" i="7"/>
  <c r="G4" i="8" s="1"/>
  <c r="F11" i="7"/>
  <c r="E4" i="8" s="1"/>
  <c r="J11" i="7"/>
  <c r="M4" i="8" s="1"/>
  <c r="I14" i="7"/>
  <c r="H14" i="7"/>
  <c r="G14" i="7"/>
  <c r="F14" i="7"/>
  <c r="K14" i="7"/>
  <c r="J14" i="7"/>
  <c r="E14" i="7"/>
  <c r="G12" i="7"/>
  <c r="K12" i="7"/>
  <c r="J12" i="7"/>
  <c r="I12" i="7"/>
  <c r="H12" i="7"/>
  <c r="F12" i="7"/>
  <c r="E12" i="7"/>
  <c r="F15" i="7"/>
  <c r="J15" i="7"/>
  <c r="G15" i="7"/>
  <c r="K15" i="7"/>
  <c r="H15" i="7"/>
  <c r="E15" i="7"/>
  <c r="I15" i="7"/>
  <c r="K13" i="7"/>
  <c r="J13" i="7"/>
  <c r="E13" i="7"/>
  <c r="I13" i="7"/>
  <c r="H13" i="7"/>
  <c r="F13" i="7"/>
  <c r="G13" i="7"/>
  <c r="L15" i="7" l="1"/>
  <c r="R15" i="7"/>
  <c r="L12" i="7"/>
  <c r="R12" i="7" s="1"/>
  <c r="L16" i="7"/>
  <c r="R16" i="7" s="1"/>
  <c r="L13" i="7"/>
  <c r="R13" i="7" s="1"/>
  <c r="L14" i="7"/>
  <c r="R14" i="7" s="1"/>
  <c r="L11" i="7"/>
  <c r="R11" i="7" l="1"/>
  <c r="Q4" i="8"/>
</calcChain>
</file>

<file path=xl/sharedStrings.xml><?xml version="1.0" encoding="utf-8"?>
<sst xmlns="http://schemas.openxmlformats.org/spreadsheetml/2006/main" count="275" uniqueCount="101">
  <si>
    <t>Metric</t>
  </si>
  <si>
    <t>Number</t>
  </si>
  <si>
    <t>Rate</t>
  </si>
  <si>
    <t>Yield</t>
  </si>
  <si>
    <t>of</t>
  </si>
  <si>
    <t>Completed Applications</t>
  </si>
  <si>
    <t>Process</t>
  </si>
  <si>
    <t>Deliverable</t>
  </si>
  <si>
    <t>Admissions Processes</t>
  </si>
  <si>
    <t>Admits - Acceptances</t>
  </si>
  <si>
    <t xml:space="preserve">of </t>
  </si>
  <si>
    <t xml:space="preserve">Marketeing </t>
  </si>
  <si>
    <t># of stealth applications</t>
  </si>
  <si>
    <t>Inquiry to Application - Getting inquiries to submit an application</t>
  </si>
  <si>
    <t>Final Goal</t>
  </si>
  <si>
    <t>Staff Member Responsible</t>
  </si>
  <si>
    <t>Application to Completed Application - Getting students to finish application</t>
  </si>
  <si>
    <t>Completed App to Admits - The process of offering admission to students</t>
  </si>
  <si>
    <t>Admit to Yield - Getting completed applicants to day 1</t>
  </si>
  <si>
    <t>New Students on Day 1</t>
  </si>
  <si>
    <t>Gross Applications</t>
  </si>
  <si>
    <t># generated through converting inquiries</t>
  </si>
  <si>
    <t>Benchmark 4-Year Private University - First Time in College</t>
  </si>
  <si>
    <t>Benchmark 4-Year Private University - Transfer Students</t>
  </si>
  <si>
    <t>Benchmark 4-Year Public University - First Time in College</t>
  </si>
  <si>
    <t>Benchmark 4-Year Public University - Transfer Students</t>
  </si>
  <si>
    <t>which is</t>
  </si>
  <si>
    <t>Total Inquiries Needed other than Stealth apps (phone, email, website, test score)</t>
  </si>
  <si>
    <t>Stealth applications (33% of all applications)</t>
  </si>
  <si>
    <t>Stealth applications (30.5% of all applications)</t>
  </si>
  <si>
    <t>Stealth applications (22% of all applications)</t>
  </si>
  <si>
    <t>Stealth applications (61.5% of all applications)</t>
  </si>
  <si>
    <t>Inquiries</t>
  </si>
  <si>
    <t>Stealth applications includes Black Common app (20% of all applications)</t>
  </si>
  <si>
    <t>Targets</t>
  </si>
  <si>
    <t>TOTAL</t>
  </si>
  <si>
    <t># of applications submitted</t>
  </si>
  <si>
    <t># of transcripts + test scores</t>
  </si>
  <si>
    <t># of interviews completed</t>
  </si>
  <si>
    <t>Submitted applications</t>
  </si>
  <si>
    <t>Contact record</t>
  </si>
  <si>
    <t>Transcript + Test Score</t>
  </si>
  <si>
    <t>Applicant interview</t>
  </si>
  <si>
    <t xml:space="preserve">Marketing </t>
  </si>
  <si>
    <t>Name:</t>
  </si>
  <si>
    <t>Goal</t>
  </si>
  <si>
    <t>Actual</t>
  </si>
  <si>
    <t>Interviews with applicants</t>
  </si>
  <si>
    <t>Contacts with incoming students</t>
  </si>
  <si>
    <t>Documents</t>
  </si>
  <si>
    <t>Communications</t>
  </si>
  <si>
    <t># Admitted Students Contacted - TLC, Keep in touch</t>
  </si>
  <si>
    <t>Yield (Fall 2020 class)</t>
  </si>
  <si>
    <t>% of Goal</t>
  </si>
  <si>
    <t>Admitted Students</t>
  </si>
  <si>
    <r>
      <t xml:space="preserve">Due Range
</t>
    </r>
    <r>
      <rPr>
        <b/>
        <i/>
        <sz val="11"/>
        <color rgb="FF000000"/>
        <rFont val="Calibri"/>
        <family val="2"/>
      </rPr>
      <t>Begin</t>
    </r>
  </si>
  <si>
    <r>
      <t xml:space="preserve">Date Range
</t>
    </r>
    <r>
      <rPr>
        <b/>
        <i/>
        <sz val="11"/>
        <color rgb="FF000000"/>
        <rFont val="Calibri"/>
        <family val="2"/>
      </rPr>
      <t>End</t>
    </r>
  </si>
  <si>
    <t>Applications</t>
  </si>
  <si>
    <t xml:space="preserve">Date as of </t>
  </si>
  <si>
    <t>Deposits paid</t>
  </si>
  <si>
    <t>Shot records</t>
  </si>
  <si>
    <t>ISIRS 20-21</t>
  </si>
  <si>
    <t>Contact records</t>
  </si>
  <si>
    <t>Our College - First Time in College</t>
  </si>
  <si>
    <t>Our College - Transfer Students</t>
  </si>
  <si>
    <t>Web site RFI leads</t>
  </si>
  <si>
    <t>High school prospect cards</t>
  </si>
  <si>
    <t>College fair prospect cards</t>
  </si>
  <si>
    <t>Responses to College Board/ACT mailouts</t>
  </si>
  <si>
    <t>Alumni referrals</t>
  </si>
  <si>
    <t>Admissions Processor - Taylor</t>
  </si>
  <si>
    <t>Admissions Processor - Kevin</t>
  </si>
  <si>
    <t>Admissions Processor - James</t>
  </si>
  <si>
    <t>Admissions Processor - Michelle</t>
  </si>
  <si>
    <t>Admission Letters Sent</t>
  </si>
  <si>
    <t>Admission Letters</t>
  </si>
  <si>
    <t>Asst. Director of Admissions - Joann</t>
  </si>
  <si>
    <t># of immunization records</t>
  </si>
  <si>
    <t># of deposits paid - $100 - due May 1</t>
  </si>
  <si>
    <t># of 2020 - 21 FAFSA's submitted</t>
  </si>
  <si>
    <t>Director of FA - Sheila</t>
  </si>
  <si>
    <t>Finance Director - Jackson</t>
  </si>
  <si>
    <t>Nurse - Joseph</t>
  </si>
  <si>
    <t># of Housing applications</t>
  </si>
  <si>
    <t>Housing applications</t>
  </si>
  <si>
    <t>Housing Director - Regina</t>
  </si>
  <si>
    <t>Prospects Contacted</t>
  </si>
  <si>
    <t>Alexandra</t>
  </si>
  <si>
    <t>Web managre - Matthew</t>
  </si>
  <si>
    <t>HS Recruiter - Guillermo</t>
  </si>
  <si>
    <t>College Fair Recruiter - Kayla</t>
  </si>
  <si>
    <t>Marketing Supervisor - MJ</t>
  </si>
  <si>
    <t>Alumni Manager - Donna</t>
  </si>
  <si>
    <t>In house recruiter - Alexandra</t>
  </si>
  <si>
    <t>In house recruiter - Isaiah</t>
  </si>
  <si>
    <t>In house recruiter - Christian</t>
  </si>
  <si>
    <t>In house recruiter - Valeria</t>
  </si>
  <si>
    <t>In house recruiter - David</t>
  </si>
  <si>
    <t>In house recruiter - Elena</t>
  </si>
  <si>
    <t>* Trellis Project Success can assist with Admit to Yield communication</t>
  </si>
  <si>
    <t># of prospects contacted - encourage to complete admission application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</si>
</sst>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4" x14ac:knownFonts="1">
    <font>
      <sz val="11"/>
      <color rgb="FF000000"/>
      <name val="Calibri"/>
      <charset val="1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</font>
    <font>
      <i/>
      <sz val="12"/>
      <color theme="1"/>
      <name val="Calibri"/>
      <family val="2"/>
      <scheme val="minor"/>
    </font>
    <font>
      <b/>
      <sz val="12"/>
      <color rgb="FFFFFFFF"/>
      <name val="Calibri"/>
      <family val="2"/>
    </font>
    <font>
      <sz val="12"/>
      <color rgb="FFFFFFFF"/>
      <name val="Calibri"/>
      <family val="2"/>
    </font>
    <font>
      <b/>
      <sz val="12"/>
      <color rgb="FF000000"/>
      <name val="Calibri"/>
      <family val="2"/>
    </font>
    <font>
      <i/>
      <sz val="12"/>
      <color rgb="FF00000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b/>
      <sz val="12"/>
      <color theme="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2A3B86"/>
        <bgColor rgb="FF000000"/>
      </patternFill>
    </fill>
    <fill>
      <patternFill patternType="solid">
        <fgColor rgb="FFA4C4E9"/>
        <bgColor rgb="FF000000"/>
      </patternFill>
    </fill>
    <fill>
      <patternFill patternType="solid">
        <fgColor rgb="FFBA0C2F"/>
        <bgColor rgb="FF000000"/>
      </patternFill>
    </fill>
    <fill>
      <patternFill patternType="solid">
        <fgColor theme="1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rgb="FF000000"/>
      </patternFill>
    </fill>
    <fill>
      <patternFill patternType="solid">
        <fgColor theme="9" tint="-0.249977111117893"/>
        <bgColor rgb="FF000000"/>
      </patternFill>
    </fill>
    <fill>
      <patternFill patternType="solid">
        <fgColor theme="9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1" xfId="0" applyFont="1" applyBorder="1"/>
    <xf numFmtId="3" fontId="2" fillId="0" borderId="1" xfId="0" applyNumberFormat="1" applyFont="1" applyBorder="1"/>
    <xf numFmtId="3" fontId="3" fillId="0" borderId="3" xfId="0" applyNumberFormat="1" applyFont="1" applyBorder="1"/>
    <xf numFmtId="3" fontId="2" fillId="0" borderId="2" xfId="0" applyNumberFormat="1" applyFont="1" applyBorder="1"/>
    <xf numFmtId="0" fontId="2" fillId="0" borderId="1" xfId="0" applyFont="1" applyFill="1" applyBorder="1"/>
    <xf numFmtId="0" fontId="2" fillId="0" borderId="0" xfId="0" applyFont="1"/>
    <xf numFmtId="0" fontId="2" fillId="0" borderId="0" xfId="0" applyFont="1" applyFill="1" applyBorder="1"/>
    <xf numFmtId="3" fontId="2" fillId="0" borderId="0" xfId="0" applyNumberFormat="1" applyFont="1" applyBorder="1"/>
    <xf numFmtId="0" fontId="2" fillId="0" borderId="0" xfId="0" applyFont="1" applyBorder="1"/>
    <xf numFmtId="0" fontId="2" fillId="0" borderId="0" xfId="0" applyNumberFormat="1" applyFont="1" applyBorder="1" applyAlignment="1"/>
    <xf numFmtId="3" fontId="2" fillId="0" borderId="0" xfId="0" applyNumberFormat="1" applyFont="1" applyBorder="1" applyAlignment="1"/>
    <xf numFmtId="0" fontId="6" fillId="0" borderId="0" xfId="0" applyNumberFormat="1" applyFont="1" applyBorder="1" applyAlignment="1"/>
    <xf numFmtId="0" fontId="2" fillId="0" borderId="0" xfId="0" applyNumberFormat="1" applyFont="1" applyBorder="1" applyAlignment="1">
      <alignment horizontal="left"/>
    </xf>
    <xf numFmtId="3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5" xfId="0" applyFont="1" applyBorder="1" applyAlignment="1">
      <alignment vertical="center"/>
    </xf>
    <xf numFmtId="164" fontId="2" fillId="0" borderId="4" xfId="0" applyNumberFormat="1" applyFont="1" applyBorder="1" applyAlignment="1">
      <alignment horizontal="right"/>
    </xf>
    <xf numFmtId="3" fontId="3" fillId="0" borderId="4" xfId="0" applyNumberFormat="1" applyFont="1" applyBorder="1" applyAlignment="1">
      <alignment horizontal="center"/>
    </xf>
    <xf numFmtId="0" fontId="2" fillId="0" borderId="5" xfId="0" applyFont="1" applyBorder="1" applyAlignment="1">
      <alignment horizontal="left" vertical="center" indent="2"/>
    </xf>
    <xf numFmtId="3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 indent="2"/>
    </xf>
    <xf numFmtId="0" fontId="4" fillId="4" borderId="0" xfId="0" applyNumberFormat="1" applyFont="1" applyFill="1" applyBorder="1" applyAlignment="1">
      <alignment horizontal="left"/>
    </xf>
    <xf numFmtId="3" fontId="2" fillId="0" borderId="1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center"/>
    </xf>
    <xf numFmtId="3" fontId="3" fillId="0" borderId="0" xfId="0" applyNumberFormat="1" applyFont="1" applyBorder="1"/>
    <xf numFmtId="3" fontId="7" fillId="0" borderId="2" xfId="0" applyNumberFormat="1" applyFont="1" applyBorder="1"/>
    <xf numFmtId="0" fontId="2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3" fontId="3" fillId="0" borderId="3" xfId="0" applyNumberFormat="1" applyFont="1" applyBorder="1" applyAlignment="1">
      <alignment horizontal="left"/>
    </xf>
    <xf numFmtId="0" fontId="1" fillId="0" borderId="2" xfId="0" applyFont="1" applyBorder="1"/>
    <xf numFmtId="0" fontId="2" fillId="0" borderId="4" xfId="0" applyFont="1" applyBorder="1"/>
    <xf numFmtId="3" fontId="2" fillId="0" borderId="10" xfId="0" applyNumberFormat="1" applyFont="1" applyBorder="1" applyAlignment="1">
      <alignment vertical="center"/>
    </xf>
    <xf numFmtId="3" fontId="2" fillId="0" borderId="10" xfId="0" applyNumberFormat="1" applyFont="1" applyBorder="1"/>
    <xf numFmtId="0" fontId="2" fillId="0" borderId="0" xfId="0" applyFont="1" applyBorder="1" applyAlignment="1">
      <alignment horizontal="left" vertical="center" indent="2"/>
    </xf>
    <xf numFmtId="0" fontId="2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horizontal="right" vertical="center"/>
    </xf>
    <xf numFmtId="0" fontId="4" fillId="2" borderId="1" xfId="0" applyNumberFormat="1" applyFont="1" applyFill="1" applyBorder="1" applyAlignment="1">
      <alignment horizontal="left"/>
    </xf>
    <xf numFmtId="0" fontId="1" fillId="0" borderId="3" xfId="0" applyFont="1" applyBorder="1" applyAlignment="1">
      <alignment horizontal="right"/>
    </xf>
    <xf numFmtId="0" fontId="1" fillId="0" borderId="3" xfId="0" applyFont="1" applyBorder="1"/>
    <xf numFmtId="0" fontId="4" fillId="0" borderId="0" xfId="0" applyNumberFormat="1" applyFont="1" applyFill="1" applyBorder="1" applyAlignment="1"/>
    <xf numFmtId="0" fontId="2" fillId="0" borderId="0" xfId="0" applyNumberFormat="1" applyFont="1" applyFill="1" applyBorder="1" applyAlignment="1"/>
    <xf numFmtId="0" fontId="2" fillId="0" borderId="0" xfId="0" applyFont="1" applyFill="1"/>
    <xf numFmtId="0" fontId="8" fillId="0" borderId="0" xfId="0" applyNumberFormat="1" applyFont="1" applyFill="1" applyBorder="1" applyAlignment="1"/>
    <xf numFmtId="3" fontId="8" fillId="0" borderId="0" xfId="0" applyNumberFormat="1" applyFont="1" applyFill="1" applyBorder="1" applyAlignment="1"/>
    <xf numFmtId="0" fontId="9" fillId="0" borderId="0" xfId="0" applyNumberFormat="1" applyFont="1" applyFill="1" applyBorder="1" applyAlignment="1"/>
    <xf numFmtId="3" fontId="9" fillId="0" borderId="0" xfId="0" applyNumberFormat="1" applyFont="1" applyFill="1" applyBorder="1" applyAlignment="1"/>
    <xf numFmtId="1" fontId="8" fillId="0" borderId="0" xfId="0" applyNumberFormat="1" applyFont="1" applyFill="1" applyBorder="1" applyAlignment="1"/>
    <xf numFmtId="1" fontId="4" fillId="0" borderId="0" xfId="0" applyNumberFormat="1" applyFont="1" applyFill="1" applyBorder="1" applyAlignment="1"/>
    <xf numFmtId="1" fontId="9" fillId="0" borderId="0" xfId="0" applyNumberFormat="1" applyFont="1" applyBorder="1" applyAlignment="1"/>
    <xf numFmtId="1" fontId="2" fillId="0" borderId="0" xfId="0" applyNumberFormat="1" applyFont="1" applyBorder="1" applyAlignment="1"/>
    <xf numFmtId="0" fontId="0" fillId="0" borderId="13" xfId="0" applyBorder="1"/>
    <xf numFmtId="0" fontId="0" fillId="0" borderId="14" xfId="0" applyBorder="1"/>
    <xf numFmtId="1" fontId="0" fillId="0" borderId="13" xfId="0" applyNumberFormat="1" applyBorder="1"/>
    <xf numFmtId="0" fontId="0" fillId="0" borderId="15" xfId="0" applyBorder="1"/>
    <xf numFmtId="0" fontId="0" fillId="0" borderId="16" xfId="0" applyBorder="1"/>
    <xf numFmtId="1" fontId="0" fillId="0" borderId="15" xfId="0" applyNumberFormat="1" applyBorder="1"/>
    <xf numFmtId="0" fontId="6" fillId="0" borderId="0" xfId="0" applyFont="1"/>
    <xf numFmtId="0" fontId="10" fillId="0" borderId="0" xfId="0" applyFont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3" fontId="6" fillId="0" borderId="0" xfId="0" applyNumberFormat="1" applyFont="1" applyBorder="1" applyAlignment="1"/>
    <xf numFmtId="0" fontId="7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left"/>
    </xf>
    <xf numFmtId="0" fontId="11" fillId="0" borderId="0" xfId="0" applyFont="1"/>
    <xf numFmtId="14" fontId="0" fillId="0" borderId="0" xfId="0" applyNumberFormat="1"/>
    <xf numFmtId="0" fontId="10" fillId="0" borderId="0" xfId="0" applyFont="1" applyAlignment="1">
      <alignment horizontal="center" wrapText="1"/>
    </xf>
    <xf numFmtId="3" fontId="11" fillId="0" borderId="0" xfId="0" applyNumberFormat="1" applyFont="1"/>
    <xf numFmtId="10" fontId="11" fillId="0" borderId="0" xfId="0" applyNumberFormat="1" applyFont="1"/>
    <xf numFmtId="0" fontId="4" fillId="7" borderId="1" xfId="0" applyNumberFormat="1" applyFont="1" applyFill="1" applyBorder="1" applyAlignment="1">
      <alignment horizontal="left"/>
    </xf>
    <xf numFmtId="3" fontId="6" fillId="6" borderId="1" xfId="0" applyNumberFormat="1" applyFont="1" applyFill="1" applyBorder="1" applyAlignment="1"/>
    <xf numFmtId="3" fontId="2" fillId="6" borderId="1" xfId="0" applyNumberFormat="1" applyFont="1" applyFill="1" applyBorder="1" applyAlignment="1"/>
    <xf numFmtId="3" fontId="9" fillId="6" borderId="1" xfId="0" applyNumberFormat="1" applyFont="1" applyFill="1" applyBorder="1" applyAlignment="1"/>
    <xf numFmtId="14" fontId="11" fillId="0" borderId="0" xfId="0" applyNumberFormat="1" applyFont="1" applyAlignment="1">
      <alignment wrapText="1"/>
    </xf>
    <xf numFmtId="14" fontId="0" fillId="0" borderId="0" xfId="0" applyNumberFormat="1" applyAlignment="1"/>
    <xf numFmtId="0" fontId="11" fillId="0" borderId="0" xfId="0" applyFont="1" applyAlignment="1">
      <alignment horizontal="left" indent="2"/>
    </xf>
    <xf numFmtId="0" fontId="4" fillId="7" borderId="0" xfId="0" applyNumberFormat="1" applyFont="1" applyFill="1" applyBorder="1" applyAlignment="1"/>
    <xf numFmtId="14" fontId="4" fillId="7" borderId="0" xfId="0" applyNumberFormat="1" applyFont="1" applyFill="1" applyBorder="1" applyAlignment="1"/>
    <xf numFmtId="164" fontId="2" fillId="0" borderId="4" xfId="0" applyNumberFormat="1" applyFont="1" applyFill="1" applyBorder="1" applyAlignment="1">
      <alignment horizontal="right"/>
    </xf>
    <xf numFmtId="0" fontId="9" fillId="0" borderId="0" xfId="0" applyNumberFormat="1" applyFont="1" applyFill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3" fontId="9" fillId="0" borderId="0" xfId="0" applyNumberFormat="1" applyFont="1" applyBorder="1" applyAlignment="1"/>
    <xf numFmtId="0" fontId="3" fillId="0" borderId="0" xfId="0" applyFont="1" applyBorder="1" applyAlignment="1">
      <alignment horizontal="left" indent="1"/>
    </xf>
    <xf numFmtId="0" fontId="3" fillId="0" borderId="1" xfId="0" applyFont="1" applyBorder="1" applyAlignment="1">
      <alignment horizontal="left" indent="2"/>
    </xf>
    <xf numFmtId="0" fontId="3" fillId="0" borderId="9" xfId="0" applyFont="1" applyBorder="1" applyAlignment="1">
      <alignment horizontal="left" indent="2"/>
    </xf>
    <xf numFmtId="0" fontId="3" fillId="0" borderId="2" xfId="0" applyFont="1" applyBorder="1" applyAlignment="1">
      <alignment horizontal="left" indent="2"/>
    </xf>
    <xf numFmtId="0" fontId="3" fillId="0" borderId="4" xfId="0" applyFont="1" applyBorder="1" applyAlignment="1">
      <alignment horizontal="left" indent="2"/>
    </xf>
    <xf numFmtId="0" fontId="3" fillId="0" borderId="7" xfId="0" applyFont="1" applyBorder="1" applyAlignment="1">
      <alignment horizontal="left" indent="2"/>
    </xf>
    <xf numFmtId="0" fontId="3" fillId="0" borderId="8" xfId="0" applyFont="1" applyBorder="1" applyAlignment="1">
      <alignment horizontal="left" indent="2"/>
    </xf>
    <xf numFmtId="0" fontId="5" fillId="8" borderId="2" xfId="0" applyNumberFormat="1" applyFont="1" applyFill="1" applyBorder="1" applyAlignment="1">
      <alignment horizontal="center"/>
    </xf>
    <xf numFmtId="0" fontId="5" fillId="8" borderId="4" xfId="0" applyNumberFormat="1" applyFont="1" applyFill="1" applyBorder="1" applyAlignment="1">
      <alignment horizontal="center"/>
    </xf>
    <xf numFmtId="0" fontId="5" fillId="8" borderId="3" xfId="0" applyNumberFormat="1" applyFont="1" applyFill="1" applyBorder="1" applyAlignment="1">
      <alignment horizontal="center"/>
    </xf>
    <xf numFmtId="0" fontId="13" fillId="9" borderId="0" xfId="0" applyNumberFormat="1" applyFont="1" applyFill="1" applyBorder="1" applyAlignment="1">
      <alignment horizontal="center"/>
    </xf>
    <xf numFmtId="14" fontId="0" fillId="0" borderId="11" xfId="0" applyNumberFormat="1" applyBorder="1" applyAlignment="1">
      <alignment horizontal="center"/>
    </xf>
    <xf numFmtId="14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5" fillId="3" borderId="2" xfId="0" applyNumberFormat="1" applyFont="1" applyFill="1" applyBorder="1" applyAlignment="1">
      <alignment horizontal="center"/>
    </xf>
    <xf numFmtId="0" fontId="5" fillId="3" borderId="4" xfId="0" applyNumberFormat="1" applyFont="1" applyFill="1" applyBorder="1" applyAlignment="1">
      <alignment horizontal="center"/>
    </xf>
    <xf numFmtId="0" fontId="5" fillId="3" borderId="3" xfId="0" applyNumberFormat="1" applyFont="1" applyFill="1" applyBorder="1" applyAlignment="1">
      <alignment horizontal="center"/>
    </xf>
    <xf numFmtId="0" fontId="4" fillId="5" borderId="6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left" indent="2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273971"/>
      <color rgb="FFCEB770"/>
      <color rgb="FF0A318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8"/>
  <sheetViews>
    <sheetView zoomScaleNormal="100" workbookViewId="0">
      <selection activeCell="I4" sqref="I4"/>
    </sheetView>
  </sheetViews>
  <sheetFormatPr defaultColWidth="11.44140625" defaultRowHeight="14.4" x14ac:dyDescent="0.3"/>
  <cols>
    <col min="1" max="1" width="79.109375" bestFit="1" customWidth="1"/>
    <col min="3" max="3" width="8.44140625" customWidth="1"/>
    <col min="4" max="4" width="6.88671875" bestFit="1" customWidth="1"/>
    <col min="5" max="5" width="3.6640625" bestFit="1" customWidth="1"/>
    <col min="6" max="6" width="79.44140625" bestFit="1" customWidth="1"/>
  </cols>
  <sheetData>
    <row r="1" spans="1:6" ht="15.6" x14ac:dyDescent="0.3">
      <c r="A1" s="77" t="s">
        <v>63</v>
      </c>
      <c r="B1" s="98"/>
      <c r="C1" s="99"/>
      <c r="D1" s="99"/>
      <c r="E1" s="99"/>
      <c r="F1" s="100"/>
    </row>
    <row r="2" spans="1:6" ht="15.6" x14ac:dyDescent="0.3">
      <c r="A2" s="1" t="s">
        <v>0</v>
      </c>
      <c r="B2" s="1" t="s">
        <v>1</v>
      </c>
      <c r="C2" s="38"/>
      <c r="D2" s="46" t="s">
        <v>2</v>
      </c>
      <c r="E2" s="39"/>
      <c r="F2" s="3"/>
    </row>
    <row r="3" spans="1:6" ht="15.6" x14ac:dyDescent="0.3">
      <c r="A3" s="94" t="s">
        <v>8</v>
      </c>
      <c r="B3" s="95"/>
      <c r="C3" s="96"/>
      <c r="D3" s="96"/>
      <c r="E3" s="96"/>
      <c r="F3" s="97"/>
    </row>
    <row r="4" spans="1:6" ht="15.6" x14ac:dyDescent="0.3">
      <c r="A4" s="2" t="s">
        <v>3</v>
      </c>
      <c r="B4" s="7">
        <v>400</v>
      </c>
      <c r="C4" s="33" t="s">
        <v>26</v>
      </c>
      <c r="D4" s="20">
        <v>0.25</v>
      </c>
      <c r="E4" s="21" t="s">
        <v>4</v>
      </c>
      <c r="F4" s="6" t="str">
        <f>A5</f>
        <v>Admits - Acceptances</v>
      </c>
    </row>
    <row r="5" spans="1:6" ht="15.6" x14ac:dyDescent="0.3">
      <c r="A5" s="2" t="s">
        <v>9</v>
      </c>
      <c r="B5" s="7">
        <f>B4/D4</f>
        <v>1600</v>
      </c>
      <c r="C5" s="33" t="s">
        <v>26</v>
      </c>
      <c r="D5" s="20">
        <v>0.8</v>
      </c>
      <c r="E5" s="21" t="s">
        <v>4</v>
      </c>
      <c r="F5" s="6" t="str">
        <f t="shared" ref="F5" si="0">A6</f>
        <v>Completed Applications</v>
      </c>
    </row>
    <row r="6" spans="1:6" ht="15.6" x14ac:dyDescent="0.3">
      <c r="A6" s="2" t="s">
        <v>5</v>
      </c>
      <c r="B6" s="7">
        <f>B5/D5</f>
        <v>2000</v>
      </c>
      <c r="C6" s="33" t="s">
        <v>26</v>
      </c>
      <c r="D6" s="20">
        <v>0.72</v>
      </c>
      <c r="E6" s="21" t="s">
        <v>4</v>
      </c>
      <c r="F6" s="6" t="str">
        <f>A7</f>
        <v>Gross Applications</v>
      </c>
    </row>
    <row r="7" spans="1:6" ht="15.6" x14ac:dyDescent="0.3">
      <c r="A7" s="19" t="s">
        <v>20</v>
      </c>
      <c r="B7" s="23">
        <f>B6/D6</f>
        <v>2777.7777777777778</v>
      </c>
      <c r="C7" s="28"/>
      <c r="D7" s="12"/>
      <c r="E7" s="12"/>
      <c r="F7" s="12"/>
    </row>
    <row r="8" spans="1:6" ht="15.6" x14ac:dyDescent="0.3">
      <c r="A8" s="22" t="s">
        <v>21</v>
      </c>
      <c r="B8" s="29">
        <f>B12*D8</f>
        <v>2222.2222222222222</v>
      </c>
      <c r="C8" s="33" t="s">
        <v>26</v>
      </c>
      <c r="D8" s="20">
        <v>0.1</v>
      </c>
      <c r="E8" s="21" t="s">
        <v>4</v>
      </c>
      <c r="F8" s="6" t="str">
        <f>A12</f>
        <v>Total Inquiries Needed other than Stealth apps (phone, email, website, test score)</v>
      </c>
    </row>
    <row r="9" spans="1:6" ht="15.6" x14ac:dyDescent="0.3">
      <c r="A9" s="25" t="s">
        <v>12</v>
      </c>
      <c r="B9" s="23">
        <f>B13</f>
        <v>555.55555555555554</v>
      </c>
      <c r="C9" s="40"/>
      <c r="D9" s="30"/>
      <c r="E9" s="31"/>
      <c r="F9" s="32"/>
    </row>
    <row r="10" spans="1:6" ht="15.6" x14ac:dyDescent="0.3">
      <c r="A10" s="42"/>
      <c r="B10" s="28"/>
      <c r="C10" s="28"/>
      <c r="D10" s="30"/>
      <c r="E10" s="31"/>
      <c r="F10" s="32"/>
    </row>
    <row r="11" spans="1:6" ht="15.6" x14ac:dyDescent="0.3">
      <c r="A11" s="91" t="s">
        <v>11</v>
      </c>
      <c r="B11" s="91"/>
      <c r="C11" s="91"/>
      <c r="D11" s="91"/>
      <c r="E11" s="91"/>
      <c r="F11" s="91"/>
    </row>
    <row r="12" spans="1:6" ht="15.6" x14ac:dyDescent="0.3">
      <c r="A12" s="4" t="s">
        <v>27</v>
      </c>
      <c r="B12" s="5">
        <f>(B7-B13)/D8</f>
        <v>22222.222222222219</v>
      </c>
      <c r="C12" s="41"/>
      <c r="D12" s="12"/>
      <c r="E12" s="11"/>
      <c r="F12" s="11"/>
    </row>
    <row r="13" spans="1:6" ht="15.6" x14ac:dyDescent="0.3">
      <c r="A13" s="8" t="s">
        <v>33</v>
      </c>
      <c r="B13" s="7">
        <f>B7*0.2</f>
        <v>555.55555555555554</v>
      </c>
      <c r="C13" s="41"/>
      <c r="D13" s="12"/>
      <c r="E13" s="11"/>
      <c r="F13" s="11"/>
    </row>
    <row r="14" spans="1:6" ht="15.6" x14ac:dyDescent="0.3">
      <c r="A14" s="10"/>
      <c r="B14" s="11"/>
      <c r="C14" s="11"/>
      <c r="D14" s="12"/>
      <c r="E14" s="11"/>
      <c r="F14" s="11"/>
    </row>
    <row r="15" spans="1:6" ht="15.6" x14ac:dyDescent="0.3">
      <c r="A15" s="9"/>
      <c r="B15" s="9"/>
      <c r="C15" s="9"/>
      <c r="D15" s="9"/>
      <c r="E15" s="9"/>
      <c r="F15" s="9"/>
    </row>
    <row r="16" spans="1:6" ht="15.6" x14ac:dyDescent="0.3">
      <c r="A16" s="77" t="s">
        <v>64</v>
      </c>
      <c r="B16" s="98"/>
      <c r="C16" s="99"/>
      <c r="D16" s="99"/>
      <c r="E16" s="99"/>
      <c r="F16" s="100"/>
    </row>
    <row r="17" spans="1:6" ht="15.6" x14ac:dyDescent="0.3">
      <c r="A17" s="1" t="s">
        <v>0</v>
      </c>
      <c r="B17" s="1" t="s">
        <v>1</v>
      </c>
      <c r="C17" s="38"/>
      <c r="D17" s="46" t="s">
        <v>2</v>
      </c>
      <c r="E17" s="39"/>
      <c r="F17" s="3"/>
    </row>
    <row r="18" spans="1:6" ht="15.6" x14ac:dyDescent="0.3">
      <c r="A18" s="92" t="s">
        <v>8</v>
      </c>
      <c r="B18" s="92"/>
      <c r="C18" s="93"/>
      <c r="D18" s="93"/>
      <c r="E18" s="93"/>
      <c r="F18" s="93"/>
    </row>
    <row r="19" spans="1:6" ht="15.6" x14ac:dyDescent="0.3">
      <c r="A19" s="4" t="s">
        <v>3</v>
      </c>
      <c r="B19" s="7">
        <v>100</v>
      </c>
      <c r="C19" s="33" t="s">
        <v>26</v>
      </c>
      <c r="D19" s="20">
        <v>0.46</v>
      </c>
      <c r="E19" s="21" t="s">
        <v>4</v>
      </c>
      <c r="F19" s="6" t="str">
        <f>A20</f>
        <v>Admits - Acceptances</v>
      </c>
    </row>
    <row r="20" spans="1:6" ht="15.6" x14ac:dyDescent="0.3">
      <c r="A20" s="4" t="s">
        <v>9</v>
      </c>
      <c r="B20" s="7">
        <f>B19/D19</f>
        <v>217.39130434782606</v>
      </c>
      <c r="C20" s="33" t="s">
        <v>26</v>
      </c>
      <c r="D20" s="20">
        <v>0.84499999999999997</v>
      </c>
      <c r="E20" s="21" t="s">
        <v>4</v>
      </c>
      <c r="F20" s="6" t="str">
        <f t="shared" ref="F20:F21" si="1">A21</f>
        <v>Completed Applications</v>
      </c>
    </row>
    <row r="21" spans="1:6" ht="15.6" x14ac:dyDescent="0.3">
      <c r="A21" s="4" t="s">
        <v>5</v>
      </c>
      <c r="B21" s="7">
        <f>B20/D20</f>
        <v>257.26781579624389</v>
      </c>
      <c r="C21" s="33" t="s">
        <v>26</v>
      </c>
      <c r="D21" s="86">
        <v>0.5</v>
      </c>
      <c r="E21" s="21" t="s">
        <v>4</v>
      </c>
      <c r="F21" s="6" t="str">
        <f t="shared" si="1"/>
        <v>Gross Applications</v>
      </c>
    </row>
    <row r="22" spans="1:6" ht="15.6" x14ac:dyDescent="0.3">
      <c r="A22" s="24" t="s">
        <v>20</v>
      </c>
      <c r="B22" s="23">
        <f>B21/D21</f>
        <v>514.53563159248779</v>
      </c>
      <c r="C22" s="28"/>
      <c r="D22" s="12"/>
      <c r="E22" s="12"/>
      <c r="F22" s="12"/>
    </row>
    <row r="23" spans="1:6" ht="15.6" x14ac:dyDescent="0.3">
      <c r="A23" s="25" t="s">
        <v>21</v>
      </c>
      <c r="B23" s="29">
        <f>B27*D23</f>
        <v>357.60226395677898</v>
      </c>
      <c r="C23" s="33" t="s">
        <v>26</v>
      </c>
      <c r="D23" s="20">
        <v>0.245</v>
      </c>
      <c r="E23" s="21" t="s">
        <v>4</v>
      </c>
      <c r="F23" s="6" t="str">
        <f>A27</f>
        <v>Total Inquiries Needed other than Stealth apps (phone, email, website, test score)</v>
      </c>
    </row>
    <row r="24" spans="1:6" ht="15.6" x14ac:dyDescent="0.3">
      <c r="A24" s="25" t="s">
        <v>12</v>
      </c>
      <c r="B24" s="23">
        <f>B28</f>
        <v>156.93336763570878</v>
      </c>
      <c r="C24" s="28"/>
      <c r="D24" s="30"/>
      <c r="E24" s="31"/>
      <c r="F24" s="32"/>
    </row>
    <row r="25" spans="1:6" ht="15.6" x14ac:dyDescent="0.3">
      <c r="A25" s="42"/>
      <c r="B25" s="28"/>
      <c r="C25" s="28"/>
      <c r="D25" s="30"/>
      <c r="E25" s="31"/>
      <c r="F25" s="32"/>
    </row>
    <row r="26" spans="1:6" ht="15.6" x14ac:dyDescent="0.3">
      <c r="A26" s="91" t="s">
        <v>11</v>
      </c>
      <c r="B26" s="91"/>
      <c r="C26" s="91"/>
      <c r="D26" s="91"/>
      <c r="E26" s="91"/>
      <c r="F26" s="91"/>
    </row>
    <row r="27" spans="1:6" ht="15.6" x14ac:dyDescent="0.3">
      <c r="A27" s="4" t="s">
        <v>27</v>
      </c>
      <c r="B27" s="5">
        <f>(B22-B28)/D23</f>
        <v>1459.6010773746082</v>
      </c>
      <c r="C27" s="11"/>
      <c r="D27" s="12"/>
      <c r="E27" s="11"/>
      <c r="F27" s="11"/>
    </row>
    <row r="28" spans="1:6" ht="15.6" x14ac:dyDescent="0.3">
      <c r="A28" s="8" t="s">
        <v>29</v>
      </c>
      <c r="B28" s="5">
        <f>B22*0.305</f>
        <v>156.93336763570878</v>
      </c>
      <c r="C28" s="11"/>
      <c r="D28" s="12"/>
      <c r="E28" s="11"/>
      <c r="F28" s="11"/>
    </row>
  </sheetData>
  <mergeCells count="6">
    <mergeCell ref="A26:F26"/>
    <mergeCell ref="A18:F18"/>
    <mergeCell ref="A3:F3"/>
    <mergeCell ref="A11:F11"/>
    <mergeCell ref="B1:F1"/>
    <mergeCell ref="B16:F1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6B0BF-8503-C94A-9EA8-C895B49A610C}">
  <dimension ref="A1:IR52"/>
  <sheetViews>
    <sheetView tabSelected="1" topLeftCell="A6" zoomScale="85" zoomScaleNormal="85" workbookViewId="0">
      <selection activeCell="A20" sqref="A20"/>
    </sheetView>
  </sheetViews>
  <sheetFormatPr defaultColWidth="9.109375" defaultRowHeight="15.6" x14ac:dyDescent="0.3"/>
  <cols>
    <col min="1" max="1" width="79.44140625" style="13" bestFit="1" customWidth="1"/>
    <col min="2" max="2" width="19.44140625" style="13" bestFit="1" customWidth="1"/>
    <col min="3" max="3" width="23.88671875" style="13" bestFit="1" customWidth="1"/>
    <col min="4" max="4" width="32.109375" style="13" bestFit="1" customWidth="1"/>
    <col min="5" max="5" width="13.6640625" style="13" bestFit="1" customWidth="1"/>
    <col min="6" max="6" width="14.6640625" style="13" bestFit="1" customWidth="1"/>
    <col min="7" max="8" width="14.109375" style="13" bestFit="1" customWidth="1"/>
    <col min="9" max="9" width="13.33203125" style="13" bestFit="1" customWidth="1"/>
    <col min="10" max="10" width="14.109375" style="13" bestFit="1" customWidth="1"/>
    <col min="11" max="11" width="13.33203125" style="13" bestFit="1" customWidth="1"/>
    <col min="12" max="12" width="14.109375" style="13" bestFit="1" customWidth="1"/>
    <col min="13" max="13" width="13.33203125" style="13" bestFit="1" customWidth="1"/>
    <col min="14" max="15" width="14.109375" style="13" bestFit="1" customWidth="1"/>
    <col min="16" max="16" width="13.6640625" style="13" bestFit="1" customWidth="1"/>
    <col min="17" max="17" width="14.109375" style="13" bestFit="1" customWidth="1"/>
    <col min="18" max="18" width="10.6640625" style="14" bestFit="1" customWidth="1"/>
    <col min="19" max="251" width="8.88671875" style="13" customWidth="1"/>
    <col min="252" max="16384" width="9.109375" style="9"/>
  </cols>
  <sheetData>
    <row r="1" spans="1:252" x14ac:dyDescent="0.3">
      <c r="E1" s="101" t="s">
        <v>34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78" t="s">
        <v>35</v>
      </c>
    </row>
    <row r="2" spans="1:252" s="13" customFormat="1" x14ac:dyDescent="0.3">
      <c r="A2" s="84" t="s">
        <v>6</v>
      </c>
      <c r="B2" s="84" t="s">
        <v>14</v>
      </c>
      <c r="C2" s="84" t="s">
        <v>7</v>
      </c>
      <c r="D2" s="84" t="s">
        <v>15</v>
      </c>
      <c r="E2" s="85">
        <v>43738</v>
      </c>
      <c r="F2" s="85">
        <v>43769</v>
      </c>
      <c r="G2" s="85">
        <v>43799</v>
      </c>
      <c r="H2" s="85">
        <v>43830</v>
      </c>
      <c r="I2" s="85">
        <v>43861</v>
      </c>
      <c r="J2" s="85">
        <v>43890</v>
      </c>
      <c r="K2" s="85">
        <v>43921</v>
      </c>
      <c r="L2" s="85">
        <v>43951</v>
      </c>
      <c r="M2" s="85">
        <v>43982</v>
      </c>
      <c r="N2" s="85">
        <v>44012</v>
      </c>
      <c r="O2" s="85">
        <v>44043</v>
      </c>
      <c r="P2" s="85">
        <v>44074</v>
      </c>
      <c r="Q2" s="85">
        <v>44104</v>
      </c>
      <c r="R2" s="79"/>
      <c r="IR2" s="9"/>
    </row>
    <row r="3" spans="1:252" s="49" customFormat="1" x14ac:dyDescent="0.3">
      <c r="A3" s="51" t="s">
        <v>32</v>
      </c>
      <c r="B3" s="52">
        <f>'Our College Goals'!B12+'Our College Goals'!B27</f>
        <v>23681.823299596828</v>
      </c>
      <c r="C3" s="48"/>
      <c r="D3" s="48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79"/>
      <c r="IR3" s="50"/>
    </row>
    <row r="4" spans="1:252" s="49" customFormat="1" x14ac:dyDescent="0.3">
      <c r="A4" s="53" t="s">
        <v>65</v>
      </c>
      <c r="B4" s="54">
        <v>10500</v>
      </c>
      <c r="C4" s="87" t="s">
        <v>32</v>
      </c>
      <c r="D4" s="53" t="s">
        <v>88</v>
      </c>
      <c r="E4" s="54">
        <f>B4*0.2</f>
        <v>2100</v>
      </c>
      <c r="F4" s="54">
        <f>B4*0.25</f>
        <v>2625</v>
      </c>
      <c r="G4" s="54">
        <f>B4*0.15</f>
        <v>1575</v>
      </c>
      <c r="H4" s="54">
        <f>B4*0.1</f>
        <v>1050</v>
      </c>
      <c r="I4" s="54">
        <f>B4*0.15</f>
        <v>1575</v>
      </c>
      <c r="J4" s="54">
        <f>B4*0.07</f>
        <v>735.00000000000011</v>
      </c>
      <c r="K4" s="54">
        <f>B4*0.05</f>
        <v>525</v>
      </c>
      <c r="L4" s="54">
        <f>B4-SUM(E4:K4)</f>
        <v>315</v>
      </c>
      <c r="M4" s="55"/>
      <c r="N4" s="55"/>
      <c r="O4" s="55"/>
      <c r="P4" s="55"/>
      <c r="Q4" s="55"/>
      <c r="R4" s="80">
        <f>SUM(E4:Q4)</f>
        <v>10500</v>
      </c>
      <c r="IR4" s="50"/>
    </row>
    <row r="5" spans="1:252" s="49" customFormat="1" x14ac:dyDescent="0.3">
      <c r="A5" s="53" t="s">
        <v>66</v>
      </c>
      <c r="B5" s="54">
        <v>1000</v>
      </c>
      <c r="C5" s="87" t="s">
        <v>32</v>
      </c>
      <c r="D5" s="53" t="s">
        <v>89</v>
      </c>
      <c r="E5" s="54">
        <f t="shared" ref="E5:E8" si="0">B5*0.2</f>
        <v>200</v>
      </c>
      <c r="F5" s="54">
        <f t="shared" ref="F5:F8" si="1">B5*0.25</f>
        <v>250</v>
      </c>
      <c r="G5" s="54">
        <f t="shared" ref="G5:G8" si="2">B5*0.15</f>
        <v>150</v>
      </c>
      <c r="H5" s="54">
        <f t="shared" ref="H5:H8" si="3">B5*0.1</f>
        <v>100</v>
      </c>
      <c r="I5" s="54">
        <f t="shared" ref="I5:I8" si="4">B5*0.15</f>
        <v>150</v>
      </c>
      <c r="J5" s="54">
        <f t="shared" ref="J5:J8" si="5">B5*0.07</f>
        <v>70</v>
      </c>
      <c r="K5" s="54">
        <f t="shared" ref="K5:K8" si="6">B5*0.05</f>
        <v>50</v>
      </c>
      <c r="L5" s="54">
        <f t="shared" ref="L5:L8" si="7">B5-SUM(E5:K5)</f>
        <v>30</v>
      </c>
      <c r="M5" s="55"/>
      <c r="N5" s="55"/>
      <c r="O5" s="55"/>
      <c r="P5" s="55"/>
      <c r="Q5" s="55"/>
      <c r="R5" s="80">
        <f t="shared" ref="R5:R49" si="8">SUM(E5:Q5)</f>
        <v>1000</v>
      </c>
      <c r="IR5" s="50"/>
    </row>
    <row r="6" spans="1:252" s="49" customFormat="1" x14ac:dyDescent="0.3">
      <c r="A6" s="53" t="s">
        <v>67</v>
      </c>
      <c r="B6" s="54">
        <v>1500</v>
      </c>
      <c r="C6" s="87" t="s">
        <v>32</v>
      </c>
      <c r="D6" s="53" t="s">
        <v>90</v>
      </c>
      <c r="E6" s="54">
        <f t="shared" si="0"/>
        <v>300</v>
      </c>
      <c r="F6" s="54">
        <f t="shared" si="1"/>
        <v>375</v>
      </c>
      <c r="G6" s="54">
        <f t="shared" si="2"/>
        <v>225</v>
      </c>
      <c r="H6" s="54">
        <f t="shared" si="3"/>
        <v>150</v>
      </c>
      <c r="I6" s="54">
        <f t="shared" si="4"/>
        <v>225</v>
      </c>
      <c r="J6" s="54">
        <f t="shared" si="5"/>
        <v>105.00000000000001</v>
      </c>
      <c r="K6" s="54">
        <f t="shared" si="6"/>
        <v>75</v>
      </c>
      <c r="L6" s="54">
        <f t="shared" si="7"/>
        <v>45</v>
      </c>
      <c r="M6" s="55"/>
      <c r="N6" s="55"/>
      <c r="O6" s="55"/>
      <c r="P6" s="55"/>
      <c r="Q6" s="55"/>
      <c r="R6" s="80">
        <f t="shared" si="8"/>
        <v>1500</v>
      </c>
      <c r="IR6" s="50"/>
    </row>
    <row r="7" spans="1:252" s="49" customFormat="1" x14ac:dyDescent="0.3">
      <c r="A7" s="53" t="s">
        <v>68</v>
      </c>
      <c r="B7" s="53">
        <v>2000</v>
      </c>
      <c r="C7" s="87" t="s">
        <v>32</v>
      </c>
      <c r="D7" s="53" t="s">
        <v>91</v>
      </c>
      <c r="E7" s="54">
        <f t="shared" si="0"/>
        <v>400</v>
      </c>
      <c r="F7" s="54">
        <f t="shared" si="1"/>
        <v>500</v>
      </c>
      <c r="G7" s="54">
        <f t="shared" si="2"/>
        <v>300</v>
      </c>
      <c r="H7" s="54">
        <f t="shared" si="3"/>
        <v>200</v>
      </c>
      <c r="I7" s="54">
        <f t="shared" si="4"/>
        <v>300</v>
      </c>
      <c r="J7" s="54">
        <f t="shared" si="5"/>
        <v>140</v>
      </c>
      <c r="K7" s="54">
        <f t="shared" si="6"/>
        <v>100</v>
      </c>
      <c r="L7" s="54">
        <f t="shared" si="7"/>
        <v>60</v>
      </c>
      <c r="M7" s="55"/>
      <c r="N7" s="55"/>
      <c r="O7" s="55"/>
      <c r="P7" s="55"/>
      <c r="Q7" s="55"/>
      <c r="R7" s="80">
        <f t="shared" si="8"/>
        <v>2000</v>
      </c>
      <c r="IR7" s="50"/>
    </row>
    <row r="8" spans="1:252" s="49" customFormat="1" x14ac:dyDescent="0.3">
      <c r="A8" s="53" t="s">
        <v>69</v>
      </c>
      <c r="B8" s="53">
        <v>1698</v>
      </c>
      <c r="C8" s="87" t="s">
        <v>32</v>
      </c>
      <c r="D8" s="53" t="s">
        <v>92</v>
      </c>
      <c r="E8" s="54">
        <f t="shared" si="0"/>
        <v>339.6</v>
      </c>
      <c r="F8" s="54">
        <f t="shared" si="1"/>
        <v>424.5</v>
      </c>
      <c r="G8" s="54">
        <f t="shared" si="2"/>
        <v>254.7</v>
      </c>
      <c r="H8" s="54">
        <f t="shared" si="3"/>
        <v>169.8</v>
      </c>
      <c r="I8" s="54">
        <f t="shared" si="4"/>
        <v>254.7</v>
      </c>
      <c r="J8" s="54">
        <f t="shared" si="5"/>
        <v>118.86000000000001</v>
      </c>
      <c r="K8" s="54">
        <f t="shared" si="6"/>
        <v>84.9</v>
      </c>
      <c r="L8" s="54">
        <f t="shared" si="7"/>
        <v>50.940000000000055</v>
      </c>
      <c r="M8" s="55"/>
      <c r="N8" s="55"/>
      <c r="O8" s="55"/>
      <c r="P8" s="55"/>
      <c r="Q8" s="55"/>
      <c r="R8" s="80">
        <f t="shared" si="8"/>
        <v>1698</v>
      </c>
      <c r="IR8" s="50"/>
    </row>
    <row r="9" spans="1:252" s="49" customFormat="1" x14ac:dyDescent="0.3">
      <c r="A9" s="51"/>
      <c r="B9" s="51"/>
      <c r="C9" s="51"/>
      <c r="D9" s="51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80">
        <f t="shared" si="8"/>
        <v>0</v>
      </c>
      <c r="IR9" s="50"/>
    </row>
    <row r="10" spans="1:252" s="13" customFormat="1" x14ac:dyDescent="0.3">
      <c r="A10" s="15" t="s">
        <v>13</v>
      </c>
      <c r="B10" s="69">
        <f>'Our College Goals'!B7+'Our College Goals'!B22</f>
        <v>3292.3134093702656</v>
      </c>
      <c r="C10" s="88" t="str">
        <f>'Our College Goals'!A7</f>
        <v>Gross Applications</v>
      </c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80">
        <f t="shared" si="8"/>
        <v>0</v>
      </c>
      <c r="IR10" s="9"/>
    </row>
    <row r="11" spans="1:252" s="13" customFormat="1" x14ac:dyDescent="0.3">
      <c r="A11" s="13" t="s">
        <v>100</v>
      </c>
      <c r="B11" s="14">
        <f>B$3/6</f>
        <v>3946.9705499328047</v>
      </c>
      <c r="C11" s="18" t="s">
        <v>40</v>
      </c>
      <c r="D11" s="13" t="s">
        <v>93</v>
      </c>
      <c r="E11" s="57">
        <f>B11/15</f>
        <v>263.13136999552029</v>
      </c>
      <c r="F11" s="57">
        <f>B11/4</f>
        <v>986.74263748320118</v>
      </c>
      <c r="G11" s="90">
        <f>B11/3</f>
        <v>1315.6568499776015</v>
      </c>
      <c r="H11" s="57">
        <f>B11/5</f>
        <v>789.39410998656092</v>
      </c>
      <c r="I11" s="57">
        <f>B11/20</f>
        <v>197.34852749664023</v>
      </c>
      <c r="J11" s="57">
        <f>B11/20</f>
        <v>197.34852749664023</v>
      </c>
      <c r="K11" s="57">
        <f>B11/25</f>
        <v>157.8788219973122</v>
      </c>
      <c r="L11" s="57">
        <f>B11-SUM(E11:K11)</f>
        <v>39.469705499328029</v>
      </c>
      <c r="M11" s="57"/>
      <c r="N11" s="57"/>
      <c r="O11" s="57"/>
      <c r="P11" s="57"/>
      <c r="Q11" s="57"/>
      <c r="R11" s="80">
        <f>SUM(E11:Q11)</f>
        <v>3946.9705499328047</v>
      </c>
      <c r="IR11" s="9"/>
    </row>
    <row r="12" spans="1:252" x14ac:dyDescent="0.3">
      <c r="A12" s="13" t="s">
        <v>100</v>
      </c>
      <c r="B12" s="14">
        <f t="shared" ref="B12:B16" si="9">B$3/6</f>
        <v>3946.9705499328047</v>
      </c>
      <c r="C12" s="18" t="s">
        <v>40</v>
      </c>
      <c r="D12" s="13" t="s">
        <v>94</v>
      </c>
      <c r="E12" s="57">
        <f t="shared" ref="E12:E14" si="10">B12/15</f>
        <v>263.13136999552029</v>
      </c>
      <c r="F12" s="57">
        <f t="shared" ref="F12:F14" si="11">B12/4</f>
        <v>986.74263748320118</v>
      </c>
      <c r="G12" s="90">
        <f t="shared" ref="G12:G14" si="12">B12/3</f>
        <v>1315.6568499776015</v>
      </c>
      <c r="H12" s="57">
        <f t="shared" ref="H12:H14" si="13">B12/5</f>
        <v>789.39410998656092</v>
      </c>
      <c r="I12" s="57">
        <f t="shared" ref="I12:I14" si="14">B12/20</f>
        <v>197.34852749664023</v>
      </c>
      <c r="J12" s="57">
        <f t="shared" ref="J12:J14" si="15">B12/20</f>
        <v>197.34852749664023</v>
      </c>
      <c r="K12" s="57">
        <f t="shared" ref="K12:K14" si="16">B12/25</f>
        <v>157.8788219973122</v>
      </c>
      <c r="L12" s="57">
        <f t="shared" ref="L12:L14" si="17">B12-SUM(E12:K12)</f>
        <v>39.469705499328029</v>
      </c>
      <c r="M12" s="57"/>
      <c r="N12" s="57"/>
      <c r="O12" s="57"/>
      <c r="P12" s="57"/>
      <c r="Q12" s="57"/>
      <c r="R12" s="80">
        <f>SUM(E12:Q12)</f>
        <v>3946.9705499328047</v>
      </c>
    </row>
    <row r="13" spans="1:252" x14ac:dyDescent="0.3">
      <c r="A13" s="13" t="s">
        <v>100</v>
      </c>
      <c r="B13" s="14">
        <f t="shared" si="9"/>
        <v>3946.9705499328047</v>
      </c>
      <c r="C13" s="18" t="s">
        <v>40</v>
      </c>
      <c r="D13" s="13" t="s">
        <v>95</v>
      </c>
      <c r="E13" s="57">
        <f t="shared" si="10"/>
        <v>263.13136999552029</v>
      </c>
      <c r="F13" s="57">
        <f t="shared" si="11"/>
        <v>986.74263748320118</v>
      </c>
      <c r="G13" s="90">
        <f t="shared" si="12"/>
        <v>1315.6568499776015</v>
      </c>
      <c r="H13" s="57">
        <f t="shared" si="13"/>
        <v>789.39410998656092</v>
      </c>
      <c r="I13" s="57">
        <f t="shared" si="14"/>
        <v>197.34852749664023</v>
      </c>
      <c r="J13" s="57">
        <f t="shared" si="15"/>
        <v>197.34852749664023</v>
      </c>
      <c r="K13" s="57">
        <f t="shared" si="16"/>
        <v>157.8788219973122</v>
      </c>
      <c r="L13" s="57">
        <f t="shared" si="17"/>
        <v>39.469705499328029</v>
      </c>
      <c r="M13" s="57"/>
      <c r="N13" s="57"/>
      <c r="O13" s="57"/>
      <c r="P13" s="57"/>
      <c r="Q13" s="57"/>
      <c r="R13" s="80">
        <f>SUM(E13:Q13)</f>
        <v>3946.9705499328047</v>
      </c>
    </row>
    <row r="14" spans="1:252" x14ac:dyDescent="0.3">
      <c r="A14" s="13" t="s">
        <v>100</v>
      </c>
      <c r="B14" s="14">
        <f t="shared" si="9"/>
        <v>3946.9705499328047</v>
      </c>
      <c r="C14" s="18" t="s">
        <v>40</v>
      </c>
      <c r="D14" s="13" t="s">
        <v>96</v>
      </c>
      <c r="E14" s="57">
        <f t="shared" si="10"/>
        <v>263.13136999552029</v>
      </c>
      <c r="F14" s="57">
        <f t="shared" si="11"/>
        <v>986.74263748320118</v>
      </c>
      <c r="G14" s="90">
        <f t="shared" si="12"/>
        <v>1315.6568499776015</v>
      </c>
      <c r="H14" s="57">
        <f t="shared" si="13"/>
        <v>789.39410998656092</v>
      </c>
      <c r="I14" s="57">
        <f t="shared" si="14"/>
        <v>197.34852749664023</v>
      </c>
      <c r="J14" s="57">
        <f t="shared" si="15"/>
        <v>197.34852749664023</v>
      </c>
      <c r="K14" s="57">
        <f t="shared" si="16"/>
        <v>157.8788219973122</v>
      </c>
      <c r="L14" s="57">
        <f t="shared" si="17"/>
        <v>39.469705499328029</v>
      </c>
      <c r="M14" s="57"/>
      <c r="N14" s="57"/>
      <c r="O14" s="57"/>
      <c r="P14" s="57"/>
      <c r="Q14" s="57"/>
      <c r="R14" s="80">
        <f>SUM(E14:Q14)</f>
        <v>3946.9705499328047</v>
      </c>
    </row>
    <row r="15" spans="1:252" x14ac:dyDescent="0.3">
      <c r="A15" s="13" t="s">
        <v>100</v>
      </c>
      <c r="B15" s="14">
        <f t="shared" si="9"/>
        <v>3946.9705499328047</v>
      </c>
      <c r="C15" s="18" t="s">
        <v>40</v>
      </c>
      <c r="D15" s="13" t="s">
        <v>97</v>
      </c>
      <c r="E15" s="57">
        <f>B15/15</f>
        <v>263.13136999552029</v>
      </c>
      <c r="F15" s="57">
        <f>B15/4</f>
        <v>986.74263748320118</v>
      </c>
      <c r="G15" s="90">
        <f>B15/3</f>
        <v>1315.6568499776015</v>
      </c>
      <c r="H15" s="57">
        <f>B15/5</f>
        <v>789.39410998656092</v>
      </c>
      <c r="I15" s="57">
        <f>B15/20</f>
        <v>197.34852749664023</v>
      </c>
      <c r="J15" s="57">
        <f>B15/20</f>
        <v>197.34852749664023</v>
      </c>
      <c r="K15" s="57">
        <f>B15/25</f>
        <v>157.8788219973122</v>
      </c>
      <c r="L15" s="57">
        <f>B15-SUM(E15:K15)</f>
        <v>39.469705499328029</v>
      </c>
      <c r="M15" s="57"/>
      <c r="N15" s="57"/>
      <c r="O15" s="57"/>
      <c r="P15" s="57"/>
      <c r="Q15" s="57"/>
      <c r="R15" s="80">
        <f t="shared" ref="R15:R16" si="18">SUM(E15:Q15)</f>
        <v>3946.9705499328047</v>
      </c>
    </row>
    <row r="16" spans="1:252" x14ac:dyDescent="0.3">
      <c r="A16" s="13" t="s">
        <v>100</v>
      </c>
      <c r="B16" s="14">
        <f t="shared" si="9"/>
        <v>3946.9705499328047</v>
      </c>
      <c r="C16" s="18" t="s">
        <v>40</v>
      </c>
      <c r="D16" s="13" t="s">
        <v>98</v>
      </c>
      <c r="E16" s="57">
        <f t="shared" ref="E16" si="19">B16/15</f>
        <v>263.13136999552029</v>
      </c>
      <c r="F16" s="57">
        <f t="shared" ref="F16" si="20">B16/4</f>
        <v>986.74263748320118</v>
      </c>
      <c r="G16" s="90">
        <f t="shared" ref="G16" si="21">B16/3</f>
        <v>1315.6568499776015</v>
      </c>
      <c r="H16" s="57">
        <f t="shared" ref="H16" si="22">B16/5</f>
        <v>789.39410998656092</v>
      </c>
      <c r="I16" s="57">
        <f t="shared" ref="I16" si="23">B16/20</f>
        <v>197.34852749664023</v>
      </c>
      <c r="J16" s="57">
        <f t="shared" ref="J16" si="24">B16/20</f>
        <v>197.34852749664023</v>
      </c>
      <c r="K16" s="57">
        <f t="shared" ref="K16" si="25">B16/25</f>
        <v>157.8788219973122</v>
      </c>
      <c r="L16" s="57">
        <f t="shared" ref="L16" si="26">B16-SUM(E16:K16)</f>
        <v>39.469705499328029</v>
      </c>
      <c r="M16" s="57"/>
      <c r="N16" s="57"/>
      <c r="O16" s="57"/>
      <c r="P16" s="57"/>
      <c r="Q16" s="57"/>
      <c r="R16" s="80">
        <f t="shared" si="18"/>
        <v>3946.9705499328047</v>
      </c>
    </row>
    <row r="17" spans="1:252" s="13" customFormat="1" x14ac:dyDescent="0.3">
      <c r="A17" s="13" t="s">
        <v>36</v>
      </c>
      <c r="B17" s="14">
        <f>$B$10/4</f>
        <v>823.0783523425664</v>
      </c>
      <c r="C17" s="17" t="s">
        <v>39</v>
      </c>
      <c r="D17" s="13" t="s">
        <v>70</v>
      </c>
      <c r="E17" s="57">
        <f>$B$17/15</f>
        <v>54.871890156171091</v>
      </c>
      <c r="F17" s="57">
        <f>$B$17/9</f>
        <v>91.453150260285156</v>
      </c>
      <c r="G17" s="57">
        <f>$B$17/8</f>
        <v>102.8847940428208</v>
      </c>
      <c r="H17" s="57">
        <f>$B$17/7</f>
        <v>117.58262176322377</v>
      </c>
      <c r="I17" s="57">
        <f>$B$17/6</f>
        <v>137.17972539042773</v>
      </c>
      <c r="J17" s="57">
        <f>$B$17/7</f>
        <v>117.58262176322377</v>
      </c>
      <c r="K17" s="57">
        <f>$B$17/9</f>
        <v>91.453150260285156</v>
      </c>
      <c r="L17" s="57">
        <f t="shared" ref="L17:L20" si="27">$B$17/10</f>
        <v>82.307835234256643</v>
      </c>
      <c r="M17" s="57">
        <f>B17-SUM(E17:L17)</f>
        <v>27.762563471872227</v>
      </c>
      <c r="N17" s="57"/>
      <c r="O17" s="57"/>
      <c r="P17" s="57"/>
      <c r="Q17" s="57"/>
      <c r="R17" s="80">
        <f t="shared" si="8"/>
        <v>823.0783523425664</v>
      </c>
      <c r="IR17" s="9"/>
    </row>
    <row r="18" spans="1:252" s="13" customFormat="1" x14ac:dyDescent="0.3">
      <c r="A18" s="13" t="s">
        <v>36</v>
      </c>
      <c r="B18" s="14">
        <f t="shared" ref="B18:B20" si="28">$B$10/4</f>
        <v>823.0783523425664</v>
      </c>
      <c r="C18" s="17" t="s">
        <v>39</v>
      </c>
      <c r="D18" s="13" t="s">
        <v>71</v>
      </c>
      <c r="E18" s="57">
        <f t="shared" ref="E18:E20" si="29">$B$17/15</f>
        <v>54.871890156171091</v>
      </c>
      <c r="F18" s="57">
        <f t="shared" ref="F18:F20" si="30">$B$17/9</f>
        <v>91.453150260285156</v>
      </c>
      <c r="G18" s="57">
        <f t="shared" ref="G18:G20" si="31">$B$17/8</f>
        <v>102.8847940428208</v>
      </c>
      <c r="H18" s="57">
        <f t="shared" ref="H18:H20" si="32">$B$17/7</f>
        <v>117.58262176322377</v>
      </c>
      <c r="I18" s="57">
        <f t="shared" ref="I18:I20" si="33">$B$17/6</f>
        <v>137.17972539042773</v>
      </c>
      <c r="J18" s="57">
        <f t="shared" ref="J18:J20" si="34">$B$17/7</f>
        <v>117.58262176322377</v>
      </c>
      <c r="K18" s="57">
        <f t="shared" ref="K18:K20" si="35">$B$17/9</f>
        <v>91.453150260285156</v>
      </c>
      <c r="L18" s="57">
        <f t="shared" si="27"/>
        <v>82.307835234256643</v>
      </c>
      <c r="M18" s="57">
        <f t="shared" ref="M18:M20" si="36">B18-SUM(E18:L18)</f>
        <v>27.762563471872227</v>
      </c>
      <c r="N18" s="57"/>
      <c r="O18" s="57"/>
      <c r="P18" s="57"/>
      <c r="Q18" s="57"/>
      <c r="R18" s="80">
        <f t="shared" si="8"/>
        <v>823.0783523425664</v>
      </c>
      <c r="IR18" s="9"/>
    </row>
    <row r="19" spans="1:252" s="13" customFormat="1" x14ac:dyDescent="0.3">
      <c r="A19" s="13" t="s">
        <v>36</v>
      </c>
      <c r="B19" s="14">
        <f t="shared" si="28"/>
        <v>823.0783523425664</v>
      </c>
      <c r="C19" s="17" t="s">
        <v>39</v>
      </c>
      <c r="D19" s="13" t="s">
        <v>72</v>
      </c>
      <c r="E19" s="57">
        <f t="shared" si="29"/>
        <v>54.871890156171091</v>
      </c>
      <c r="F19" s="57">
        <f t="shared" si="30"/>
        <v>91.453150260285156</v>
      </c>
      <c r="G19" s="57">
        <f t="shared" si="31"/>
        <v>102.8847940428208</v>
      </c>
      <c r="H19" s="57">
        <f t="shared" si="32"/>
        <v>117.58262176322377</v>
      </c>
      <c r="I19" s="57">
        <f t="shared" si="33"/>
        <v>137.17972539042773</v>
      </c>
      <c r="J19" s="57">
        <f t="shared" si="34"/>
        <v>117.58262176322377</v>
      </c>
      <c r="K19" s="57">
        <f t="shared" si="35"/>
        <v>91.453150260285156</v>
      </c>
      <c r="L19" s="57">
        <f t="shared" si="27"/>
        <v>82.307835234256643</v>
      </c>
      <c r="M19" s="57">
        <f t="shared" si="36"/>
        <v>27.762563471872227</v>
      </c>
      <c r="N19" s="57"/>
      <c r="O19" s="57"/>
      <c r="P19" s="57"/>
      <c r="Q19" s="57"/>
      <c r="R19" s="80">
        <f t="shared" si="8"/>
        <v>823.0783523425664</v>
      </c>
      <c r="IR19" s="9"/>
    </row>
    <row r="20" spans="1:252" s="13" customFormat="1" x14ac:dyDescent="0.3">
      <c r="A20" s="13" t="s">
        <v>36</v>
      </c>
      <c r="B20" s="14">
        <f t="shared" si="28"/>
        <v>823.0783523425664</v>
      </c>
      <c r="C20" s="17" t="s">
        <v>39</v>
      </c>
      <c r="D20" s="13" t="s">
        <v>73</v>
      </c>
      <c r="E20" s="57">
        <f t="shared" si="29"/>
        <v>54.871890156171091</v>
      </c>
      <c r="F20" s="57">
        <f t="shared" si="30"/>
        <v>91.453150260285156</v>
      </c>
      <c r="G20" s="57">
        <f t="shared" si="31"/>
        <v>102.8847940428208</v>
      </c>
      <c r="H20" s="57">
        <f t="shared" si="32"/>
        <v>117.58262176322377</v>
      </c>
      <c r="I20" s="57">
        <f t="shared" si="33"/>
        <v>137.17972539042773</v>
      </c>
      <c r="J20" s="57">
        <f t="shared" si="34"/>
        <v>117.58262176322377</v>
      </c>
      <c r="K20" s="57">
        <f t="shared" si="35"/>
        <v>91.453150260285156</v>
      </c>
      <c r="L20" s="57">
        <f t="shared" si="27"/>
        <v>82.307835234256643</v>
      </c>
      <c r="M20" s="57">
        <f t="shared" si="36"/>
        <v>27.762563471872227</v>
      </c>
      <c r="N20" s="57"/>
      <c r="O20" s="57"/>
      <c r="P20" s="57"/>
      <c r="Q20" s="57"/>
      <c r="R20" s="80">
        <f t="shared" si="8"/>
        <v>823.0783523425664</v>
      </c>
      <c r="IR20" s="9"/>
    </row>
    <row r="21" spans="1:252" x14ac:dyDescent="0.3">
      <c r="C21" s="18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80"/>
    </row>
    <row r="22" spans="1:252" s="13" customFormat="1" x14ac:dyDescent="0.3">
      <c r="A22" s="15" t="s">
        <v>16</v>
      </c>
      <c r="B22" s="69">
        <f>'Our College Goals'!B6+'Our College Goals'!B21</f>
        <v>2257.2678157962437</v>
      </c>
      <c r="C22" s="88" t="str">
        <f>'Our College Goals'!A6</f>
        <v>Completed Applications</v>
      </c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80">
        <f t="shared" si="8"/>
        <v>0</v>
      </c>
      <c r="IR22" s="9"/>
    </row>
    <row r="23" spans="1:252" s="13" customFormat="1" x14ac:dyDescent="0.3">
      <c r="A23" s="13" t="s">
        <v>37</v>
      </c>
      <c r="B23" s="14">
        <f>$B$22/4</f>
        <v>564.31695394906092</v>
      </c>
      <c r="C23" s="17" t="s">
        <v>41</v>
      </c>
      <c r="D23" s="13" t="s">
        <v>70</v>
      </c>
      <c r="E23" s="57"/>
      <c r="F23" s="57">
        <f>$B$23/15</f>
        <v>37.621130263270729</v>
      </c>
      <c r="G23" s="57">
        <f>$B$23/5</f>
        <v>112.86339078981219</v>
      </c>
      <c r="H23" s="57">
        <f>$B$23/7</f>
        <v>80.6167077070087</v>
      </c>
      <c r="I23" s="57">
        <f>$B$23/6</f>
        <v>94.052825658176815</v>
      </c>
      <c r="J23" s="57">
        <f>$B$23/6</f>
        <v>94.052825658176815</v>
      </c>
      <c r="K23" s="57">
        <f>$B$23/9</f>
        <v>62.701883772117881</v>
      </c>
      <c r="L23" s="57">
        <f>$B$23/15</f>
        <v>37.621130263270729</v>
      </c>
      <c r="M23" s="57">
        <f>$B$23/20</f>
        <v>28.215847697453047</v>
      </c>
      <c r="N23" s="57">
        <f>B23-SUM(F23:M23)</f>
        <v>16.571212139774161</v>
      </c>
      <c r="O23" s="57"/>
      <c r="P23" s="57"/>
      <c r="Q23" s="57"/>
      <c r="R23" s="80">
        <f t="shared" si="8"/>
        <v>564.31695394906092</v>
      </c>
      <c r="IR23" s="9"/>
    </row>
    <row r="24" spans="1:252" s="13" customFormat="1" x14ac:dyDescent="0.3">
      <c r="A24" s="13" t="s">
        <v>37</v>
      </c>
      <c r="B24" s="14">
        <f t="shared" ref="B24:B26" si="37">$B$22/4</f>
        <v>564.31695394906092</v>
      </c>
      <c r="C24" s="17" t="s">
        <v>41</v>
      </c>
      <c r="D24" s="13" t="s">
        <v>71</v>
      </c>
      <c r="E24" s="57"/>
      <c r="F24" s="57">
        <f t="shared" ref="F24:F26" si="38">$B$23/15</f>
        <v>37.621130263270729</v>
      </c>
      <c r="G24" s="57">
        <f t="shared" ref="G24:G26" si="39">$B$23/5</f>
        <v>112.86339078981219</v>
      </c>
      <c r="H24" s="57">
        <f t="shared" ref="H24:H26" si="40">$B$23/7</f>
        <v>80.6167077070087</v>
      </c>
      <c r="I24" s="57">
        <f t="shared" ref="I24:J26" si="41">$B$23/6</f>
        <v>94.052825658176815</v>
      </c>
      <c r="J24" s="57">
        <f t="shared" si="41"/>
        <v>94.052825658176815</v>
      </c>
      <c r="K24" s="57">
        <f t="shared" ref="K24:K26" si="42">$B$23/9</f>
        <v>62.701883772117881</v>
      </c>
      <c r="L24" s="57">
        <f t="shared" ref="L24:L26" si="43">$B$23/15</f>
        <v>37.621130263270729</v>
      </c>
      <c r="M24" s="57">
        <f t="shared" ref="M24:M26" si="44">$B$23/20</f>
        <v>28.215847697453047</v>
      </c>
      <c r="N24" s="57">
        <f t="shared" ref="N24:N26" si="45">B24-SUM(F24:M24)</f>
        <v>16.571212139774161</v>
      </c>
      <c r="O24" s="57"/>
      <c r="P24" s="57"/>
      <c r="Q24" s="57"/>
      <c r="R24" s="80">
        <f t="shared" si="8"/>
        <v>564.31695394906092</v>
      </c>
      <c r="IR24" s="9"/>
    </row>
    <row r="25" spans="1:252" s="13" customFormat="1" x14ac:dyDescent="0.3">
      <c r="A25" s="13" t="s">
        <v>37</v>
      </c>
      <c r="B25" s="14">
        <f t="shared" si="37"/>
        <v>564.31695394906092</v>
      </c>
      <c r="C25" s="17" t="s">
        <v>41</v>
      </c>
      <c r="D25" s="13" t="s">
        <v>72</v>
      </c>
      <c r="E25" s="57"/>
      <c r="F25" s="57">
        <f t="shared" si="38"/>
        <v>37.621130263270729</v>
      </c>
      <c r="G25" s="57">
        <f t="shared" si="39"/>
        <v>112.86339078981219</v>
      </c>
      <c r="H25" s="57">
        <f t="shared" si="40"/>
        <v>80.6167077070087</v>
      </c>
      <c r="I25" s="57">
        <f t="shared" si="41"/>
        <v>94.052825658176815</v>
      </c>
      <c r="J25" s="57">
        <f t="shared" si="41"/>
        <v>94.052825658176815</v>
      </c>
      <c r="K25" s="57">
        <f t="shared" si="42"/>
        <v>62.701883772117881</v>
      </c>
      <c r="L25" s="57">
        <f t="shared" si="43"/>
        <v>37.621130263270729</v>
      </c>
      <c r="M25" s="57">
        <f t="shared" si="44"/>
        <v>28.215847697453047</v>
      </c>
      <c r="N25" s="57">
        <f t="shared" si="45"/>
        <v>16.571212139774161</v>
      </c>
      <c r="O25" s="57"/>
      <c r="P25" s="57"/>
      <c r="Q25" s="57"/>
      <c r="R25" s="80">
        <f t="shared" si="8"/>
        <v>564.31695394906092</v>
      </c>
      <c r="IR25" s="9"/>
    </row>
    <row r="26" spans="1:252" s="13" customFormat="1" x14ac:dyDescent="0.3">
      <c r="A26" s="13" t="s">
        <v>37</v>
      </c>
      <c r="B26" s="14">
        <f t="shared" si="37"/>
        <v>564.31695394906092</v>
      </c>
      <c r="C26" s="17" t="s">
        <v>41</v>
      </c>
      <c r="D26" s="13" t="s">
        <v>73</v>
      </c>
      <c r="E26" s="57"/>
      <c r="F26" s="57">
        <f t="shared" si="38"/>
        <v>37.621130263270729</v>
      </c>
      <c r="G26" s="57">
        <f t="shared" si="39"/>
        <v>112.86339078981219</v>
      </c>
      <c r="H26" s="57">
        <f t="shared" si="40"/>
        <v>80.6167077070087</v>
      </c>
      <c r="I26" s="57">
        <f t="shared" si="41"/>
        <v>94.052825658176815</v>
      </c>
      <c r="J26" s="57">
        <f t="shared" si="41"/>
        <v>94.052825658176815</v>
      </c>
      <c r="K26" s="57">
        <f t="shared" si="42"/>
        <v>62.701883772117881</v>
      </c>
      <c r="L26" s="57">
        <f t="shared" si="43"/>
        <v>37.621130263270729</v>
      </c>
      <c r="M26" s="57">
        <f t="shared" si="44"/>
        <v>28.215847697453047</v>
      </c>
      <c r="N26" s="57">
        <f t="shared" si="45"/>
        <v>16.571212139774161</v>
      </c>
      <c r="O26" s="57"/>
      <c r="P26" s="57"/>
      <c r="Q26" s="57"/>
      <c r="R26" s="80">
        <f t="shared" si="8"/>
        <v>564.31695394906092</v>
      </c>
      <c r="IR26" s="9"/>
    </row>
    <row r="27" spans="1:252" s="13" customFormat="1" x14ac:dyDescent="0.3">
      <c r="A27" s="13" t="s">
        <v>38</v>
      </c>
      <c r="B27" s="14">
        <f>$B$22/6</f>
        <v>376.21130263270726</v>
      </c>
      <c r="C27" s="17" t="s">
        <v>42</v>
      </c>
      <c r="D27" s="13" t="s">
        <v>93</v>
      </c>
      <c r="E27" s="57"/>
      <c r="F27" s="57">
        <f>$B$27/15</f>
        <v>25.080753508847149</v>
      </c>
      <c r="G27" s="57">
        <f>$B$27/5</f>
        <v>75.242260526541457</v>
      </c>
      <c r="H27" s="57">
        <f>$B$27/7</f>
        <v>53.744471804672465</v>
      </c>
      <c r="I27" s="57">
        <f>$B$27/6</f>
        <v>62.701883772117874</v>
      </c>
      <c r="J27" s="57">
        <f>$B$27/6</f>
        <v>62.701883772117874</v>
      </c>
      <c r="K27" s="57">
        <f>$B$27/9</f>
        <v>41.801255848078583</v>
      </c>
      <c r="L27" s="57">
        <f>$B$27/11</f>
        <v>34.201027512064293</v>
      </c>
      <c r="M27" s="57">
        <f>$B$27/20</f>
        <v>18.810565131635364</v>
      </c>
      <c r="N27" s="57">
        <f>B27-SUM(F27:M27)</f>
        <v>1.9272007566322031</v>
      </c>
      <c r="O27" s="57"/>
      <c r="P27" s="57"/>
      <c r="Q27" s="57"/>
      <c r="R27" s="80">
        <f t="shared" si="8"/>
        <v>376.21130263270726</v>
      </c>
      <c r="IR27" s="9"/>
    </row>
    <row r="28" spans="1:252" s="13" customFormat="1" x14ac:dyDescent="0.3">
      <c r="A28" s="13" t="s">
        <v>38</v>
      </c>
      <c r="B28" s="14">
        <f t="shared" ref="B28:B32" si="46">$B$22/6</f>
        <v>376.21130263270726</v>
      </c>
      <c r="C28" s="17" t="s">
        <v>42</v>
      </c>
      <c r="D28" s="13" t="s">
        <v>94</v>
      </c>
      <c r="E28" s="57"/>
      <c r="F28" s="57">
        <f t="shared" ref="F28:F32" si="47">$B$27/15</f>
        <v>25.080753508847149</v>
      </c>
      <c r="G28" s="57">
        <f t="shared" ref="G28:G32" si="48">$B$27/5</f>
        <v>75.242260526541457</v>
      </c>
      <c r="H28" s="57">
        <f t="shared" ref="H28:H32" si="49">$B$27/7</f>
        <v>53.744471804672465</v>
      </c>
      <c r="I28" s="57">
        <f t="shared" ref="I28:J32" si="50">$B$27/6</f>
        <v>62.701883772117874</v>
      </c>
      <c r="J28" s="57">
        <f t="shared" si="50"/>
        <v>62.701883772117874</v>
      </c>
      <c r="K28" s="57">
        <f t="shared" ref="K28:K32" si="51">$B$27/9</f>
        <v>41.801255848078583</v>
      </c>
      <c r="L28" s="57">
        <f t="shared" ref="L28:L32" si="52">$B$27/11</f>
        <v>34.201027512064293</v>
      </c>
      <c r="M28" s="57">
        <f t="shared" ref="M28:M32" si="53">$B$27/20</f>
        <v>18.810565131635364</v>
      </c>
      <c r="N28" s="57">
        <f t="shared" ref="N28:N32" si="54">B28-SUM(F28:M28)</f>
        <v>1.9272007566322031</v>
      </c>
      <c r="O28" s="57"/>
      <c r="P28" s="57"/>
      <c r="Q28" s="57"/>
      <c r="R28" s="80">
        <f t="shared" si="8"/>
        <v>376.21130263270726</v>
      </c>
      <c r="IR28" s="9"/>
    </row>
    <row r="29" spans="1:252" s="13" customFormat="1" x14ac:dyDescent="0.3">
      <c r="A29" s="13" t="s">
        <v>38</v>
      </c>
      <c r="B29" s="14">
        <f t="shared" si="46"/>
        <v>376.21130263270726</v>
      </c>
      <c r="C29" s="17" t="s">
        <v>42</v>
      </c>
      <c r="D29" s="13" t="s">
        <v>95</v>
      </c>
      <c r="E29" s="57"/>
      <c r="F29" s="57">
        <f t="shared" si="47"/>
        <v>25.080753508847149</v>
      </c>
      <c r="G29" s="57">
        <f t="shared" si="48"/>
        <v>75.242260526541457</v>
      </c>
      <c r="H29" s="57">
        <f t="shared" si="49"/>
        <v>53.744471804672465</v>
      </c>
      <c r="I29" s="57">
        <f t="shared" si="50"/>
        <v>62.701883772117874</v>
      </c>
      <c r="J29" s="57">
        <f t="shared" si="50"/>
        <v>62.701883772117874</v>
      </c>
      <c r="K29" s="57">
        <f t="shared" si="51"/>
        <v>41.801255848078583</v>
      </c>
      <c r="L29" s="57">
        <f t="shared" si="52"/>
        <v>34.201027512064293</v>
      </c>
      <c r="M29" s="57">
        <f t="shared" si="53"/>
        <v>18.810565131635364</v>
      </c>
      <c r="N29" s="57">
        <f t="shared" si="54"/>
        <v>1.9272007566322031</v>
      </c>
      <c r="O29" s="57"/>
      <c r="P29" s="57"/>
      <c r="Q29" s="57"/>
      <c r="R29" s="80">
        <f t="shared" si="8"/>
        <v>376.21130263270726</v>
      </c>
      <c r="IR29" s="9"/>
    </row>
    <row r="30" spans="1:252" s="13" customFormat="1" x14ac:dyDescent="0.3">
      <c r="A30" s="13" t="s">
        <v>38</v>
      </c>
      <c r="B30" s="14">
        <f t="shared" si="46"/>
        <v>376.21130263270726</v>
      </c>
      <c r="C30" s="17" t="s">
        <v>42</v>
      </c>
      <c r="D30" s="13" t="s">
        <v>96</v>
      </c>
      <c r="E30" s="57"/>
      <c r="F30" s="57">
        <f t="shared" si="47"/>
        <v>25.080753508847149</v>
      </c>
      <c r="G30" s="57">
        <f t="shared" si="48"/>
        <v>75.242260526541457</v>
      </c>
      <c r="H30" s="57">
        <f t="shared" si="49"/>
        <v>53.744471804672465</v>
      </c>
      <c r="I30" s="57">
        <f t="shared" si="50"/>
        <v>62.701883772117874</v>
      </c>
      <c r="J30" s="57">
        <f t="shared" si="50"/>
        <v>62.701883772117874</v>
      </c>
      <c r="K30" s="57">
        <f t="shared" si="51"/>
        <v>41.801255848078583</v>
      </c>
      <c r="L30" s="57">
        <f t="shared" si="52"/>
        <v>34.201027512064293</v>
      </c>
      <c r="M30" s="57">
        <f t="shared" si="53"/>
        <v>18.810565131635364</v>
      </c>
      <c r="N30" s="57">
        <f t="shared" si="54"/>
        <v>1.9272007566322031</v>
      </c>
      <c r="O30" s="57"/>
      <c r="P30" s="57"/>
      <c r="Q30" s="57"/>
      <c r="R30" s="80">
        <f t="shared" si="8"/>
        <v>376.21130263270726</v>
      </c>
      <c r="IR30" s="9"/>
    </row>
    <row r="31" spans="1:252" s="13" customFormat="1" x14ac:dyDescent="0.3">
      <c r="A31" s="13" t="s">
        <v>38</v>
      </c>
      <c r="B31" s="14">
        <f t="shared" si="46"/>
        <v>376.21130263270726</v>
      </c>
      <c r="C31" s="17" t="s">
        <v>42</v>
      </c>
      <c r="D31" s="13" t="s">
        <v>97</v>
      </c>
      <c r="E31" s="57"/>
      <c r="F31" s="57">
        <f t="shared" si="47"/>
        <v>25.080753508847149</v>
      </c>
      <c r="G31" s="57">
        <f t="shared" si="48"/>
        <v>75.242260526541457</v>
      </c>
      <c r="H31" s="57">
        <f t="shared" si="49"/>
        <v>53.744471804672465</v>
      </c>
      <c r="I31" s="57">
        <f t="shared" si="50"/>
        <v>62.701883772117874</v>
      </c>
      <c r="J31" s="57">
        <f t="shared" si="50"/>
        <v>62.701883772117874</v>
      </c>
      <c r="K31" s="57">
        <f t="shared" si="51"/>
        <v>41.801255848078583</v>
      </c>
      <c r="L31" s="57">
        <f t="shared" si="52"/>
        <v>34.201027512064293</v>
      </c>
      <c r="M31" s="57">
        <f t="shared" si="53"/>
        <v>18.810565131635364</v>
      </c>
      <c r="N31" s="57">
        <f t="shared" si="54"/>
        <v>1.9272007566322031</v>
      </c>
      <c r="O31" s="57"/>
      <c r="P31" s="57"/>
      <c r="Q31" s="57"/>
      <c r="R31" s="80">
        <f t="shared" si="8"/>
        <v>376.21130263270726</v>
      </c>
      <c r="IR31" s="9"/>
    </row>
    <row r="32" spans="1:252" s="13" customFormat="1" x14ac:dyDescent="0.3">
      <c r="A32" s="13" t="s">
        <v>38</v>
      </c>
      <c r="B32" s="14">
        <f t="shared" si="46"/>
        <v>376.21130263270726</v>
      </c>
      <c r="C32" s="17" t="s">
        <v>42</v>
      </c>
      <c r="D32" s="13" t="s">
        <v>98</v>
      </c>
      <c r="E32" s="57"/>
      <c r="F32" s="57">
        <f t="shared" si="47"/>
        <v>25.080753508847149</v>
      </c>
      <c r="G32" s="57">
        <f t="shared" si="48"/>
        <v>75.242260526541457</v>
      </c>
      <c r="H32" s="57">
        <f t="shared" si="49"/>
        <v>53.744471804672465</v>
      </c>
      <c r="I32" s="57">
        <f t="shared" si="50"/>
        <v>62.701883772117874</v>
      </c>
      <c r="J32" s="57">
        <f t="shared" si="50"/>
        <v>62.701883772117874</v>
      </c>
      <c r="K32" s="57">
        <f t="shared" si="51"/>
        <v>41.801255848078583</v>
      </c>
      <c r="L32" s="57">
        <f t="shared" si="52"/>
        <v>34.201027512064293</v>
      </c>
      <c r="M32" s="57">
        <f t="shared" si="53"/>
        <v>18.810565131635364</v>
      </c>
      <c r="N32" s="57">
        <f t="shared" si="54"/>
        <v>1.9272007566322031</v>
      </c>
      <c r="O32" s="57"/>
      <c r="P32" s="57"/>
      <c r="Q32" s="57"/>
      <c r="R32" s="80">
        <f t="shared" si="8"/>
        <v>376.21130263270726</v>
      </c>
      <c r="IR32" s="9"/>
    </row>
    <row r="33" spans="1:252" s="13" customFormat="1" x14ac:dyDescent="0.3">
      <c r="A33" s="16"/>
      <c r="C33" s="18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80">
        <f t="shared" si="8"/>
        <v>0</v>
      </c>
      <c r="IR33" s="9"/>
    </row>
    <row r="34" spans="1:252" s="13" customFormat="1" x14ac:dyDescent="0.3">
      <c r="A34" s="15" t="s">
        <v>17</v>
      </c>
      <c r="B34" s="69">
        <f>'Our College Goals'!B5+'Our College Goals'!B20</f>
        <v>1817.391304347826</v>
      </c>
      <c r="C34" s="88" t="str">
        <f>'Our College Goals'!A5</f>
        <v>Admits - Acceptances</v>
      </c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80">
        <f t="shared" si="8"/>
        <v>0</v>
      </c>
      <c r="IR34" s="9"/>
    </row>
    <row r="35" spans="1:252" s="13" customFormat="1" x14ac:dyDescent="0.3">
      <c r="A35" s="16" t="s">
        <v>74</v>
      </c>
      <c r="B35" s="14">
        <v>1360</v>
      </c>
      <c r="C35" s="18" t="s">
        <v>75</v>
      </c>
      <c r="D35" s="13" t="s">
        <v>76</v>
      </c>
      <c r="E35" s="57"/>
      <c r="F35" s="57"/>
      <c r="G35" s="57"/>
      <c r="H35" s="57"/>
      <c r="I35" s="57"/>
      <c r="J35" s="57"/>
      <c r="K35" s="57"/>
      <c r="L35" s="57"/>
      <c r="M35" s="57">
        <v>1200</v>
      </c>
      <c r="N35" s="57">
        <v>100</v>
      </c>
      <c r="O35" s="57">
        <v>60</v>
      </c>
      <c r="P35" s="57"/>
      <c r="Q35" s="57"/>
      <c r="R35" s="80">
        <f t="shared" si="8"/>
        <v>1360</v>
      </c>
      <c r="IR35" s="9"/>
    </row>
    <row r="36" spans="1:252" s="13" customFormat="1" x14ac:dyDescent="0.3">
      <c r="A36" s="16"/>
      <c r="C36" s="18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80">
        <f t="shared" si="8"/>
        <v>0</v>
      </c>
      <c r="IR36" s="9"/>
    </row>
    <row r="37" spans="1:252" s="13" customFormat="1" x14ac:dyDescent="0.3">
      <c r="A37" s="15" t="s">
        <v>18</v>
      </c>
      <c r="B37" s="69">
        <f>'Our College Goals'!B4+'Our College Goals'!B19</f>
        <v>500</v>
      </c>
      <c r="C37" s="89" t="s">
        <v>19</v>
      </c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80">
        <f t="shared" si="8"/>
        <v>0</v>
      </c>
      <c r="IR37" s="9"/>
    </row>
    <row r="38" spans="1:252" s="13" customFormat="1" x14ac:dyDescent="0.3">
      <c r="A38" s="70" t="s">
        <v>49</v>
      </c>
      <c r="B38" s="69"/>
      <c r="C38" s="18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80"/>
      <c r="IR38" s="9"/>
    </row>
    <row r="39" spans="1:252" s="13" customFormat="1" x14ac:dyDescent="0.3">
      <c r="A39" s="13" t="s">
        <v>79</v>
      </c>
      <c r="B39" s="58">
        <f>$B$34/2</f>
        <v>908.695652173913</v>
      </c>
      <c r="C39" s="18" t="s">
        <v>61</v>
      </c>
      <c r="D39" s="13" t="s">
        <v>80</v>
      </c>
      <c r="E39" s="57"/>
      <c r="F39" s="57"/>
      <c r="G39" s="57"/>
      <c r="H39" s="57"/>
      <c r="I39" s="57"/>
      <c r="J39" s="57"/>
      <c r="K39" s="57"/>
      <c r="L39" s="57"/>
      <c r="M39" s="57">
        <f>B39/2</f>
        <v>454.3478260869565</v>
      </c>
      <c r="N39" s="57">
        <f>B39/3</f>
        <v>302.89855072463769</v>
      </c>
      <c r="O39" s="57">
        <f>B39/6</f>
        <v>151.44927536231884</v>
      </c>
      <c r="P39" s="57"/>
      <c r="Q39" s="57"/>
      <c r="R39" s="80">
        <f t="shared" ref="R39:R42" si="55">SUM(E39:Q39)</f>
        <v>908.69565217391312</v>
      </c>
      <c r="IR39" s="9"/>
    </row>
    <row r="40" spans="1:252" s="13" customFormat="1" x14ac:dyDescent="0.3">
      <c r="A40" s="16" t="s">
        <v>78</v>
      </c>
      <c r="B40" s="58">
        <f t="shared" ref="B40:B42" si="56">$B$34/2</f>
        <v>908.695652173913</v>
      </c>
      <c r="C40" s="18" t="s">
        <v>59</v>
      </c>
      <c r="D40" s="13" t="s">
        <v>81</v>
      </c>
      <c r="E40" s="57"/>
      <c r="F40" s="57"/>
      <c r="G40" s="57"/>
      <c r="H40" s="57"/>
      <c r="I40" s="57"/>
      <c r="J40" s="57"/>
      <c r="K40" s="57"/>
      <c r="L40" s="57"/>
      <c r="M40" s="57">
        <f>B40/6</f>
        <v>151.44927536231884</v>
      </c>
      <c r="N40" s="57">
        <f>B40/2</f>
        <v>454.3478260869565</v>
      </c>
      <c r="O40" s="57">
        <f>B40/3</f>
        <v>302.89855072463769</v>
      </c>
      <c r="P40" s="57"/>
      <c r="Q40" s="57"/>
      <c r="R40" s="80">
        <f t="shared" si="55"/>
        <v>908.695652173913</v>
      </c>
      <c r="IR40" s="9"/>
    </row>
    <row r="41" spans="1:252" s="13" customFormat="1" x14ac:dyDescent="0.3">
      <c r="A41" s="16" t="s">
        <v>77</v>
      </c>
      <c r="B41" s="58">
        <f t="shared" si="56"/>
        <v>908.695652173913</v>
      </c>
      <c r="C41" s="18" t="s">
        <v>60</v>
      </c>
      <c r="D41" s="13" t="s">
        <v>82</v>
      </c>
      <c r="E41" s="57"/>
      <c r="F41" s="57"/>
      <c r="G41" s="57"/>
      <c r="H41" s="57"/>
      <c r="I41" s="57"/>
      <c r="J41" s="57"/>
      <c r="K41" s="57"/>
      <c r="L41" s="57"/>
      <c r="M41" s="57">
        <f>B41/6</f>
        <v>151.44927536231884</v>
      </c>
      <c r="N41" s="57">
        <f>B41/2</f>
        <v>454.3478260869565</v>
      </c>
      <c r="O41" s="57">
        <f>B41/3</f>
        <v>302.89855072463769</v>
      </c>
      <c r="P41" s="57"/>
      <c r="Q41" s="57"/>
      <c r="R41" s="80">
        <f t="shared" si="55"/>
        <v>908.695652173913</v>
      </c>
      <c r="IR41" s="9"/>
    </row>
    <row r="42" spans="1:252" s="13" customFormat="1" x14ac:dyDescent="0.3">
      <c r="A42" s="16" t="s">
        <v>83</v>
      </c>
      <c r="B42" s="58">
        <f t="shared" si="56"/>
        <v>908.695652173913</v>
      </c>
      <c r="C42" s="18" t="s">
        <v>84</v>
      </c>
      <c r="D42" s="13" t="s">
        <v>85</v>
      </c>
      <c r="E42" s="57"/>
      <c r="F42" s="57"/>
      <c r="G42" s="57"/>
      <c r="H42" s="57"/>
      <c r="I42" s="57"/>
      <c r="J42" s="57"/>
      <c r="K42" s="57"/>
      <c r="L42" s="57"/>
      <c r="M42" s="57">
        <f>B42/6</f>
        <v>151.44927536231884</v>
      </c>
      <c r="N42" s="57">
        <f>B42/2</f>
        <v>454.3478260869565</v>
      </c>
      <c r="O42" s="57">
        <f>B42/3</f>
        <v>302.89855072463769</v>
      </c>
      <c r="P42" s="57"/>
      <c r="Q42" s="57"/>
      <c r="R42" s="80">
        <f t="shared" si="55"/>
        <v>908.695652173913</v>
      </c>
      <c r="IR42" s="9"/>
    </row>
    <row r="43" spans="1:252" x14ac:dyDescent="0.3">
      <c r="A43" s="70" t="s">
        <v>50</v>
      </c>
    </row>
    <row r="44" spans="1:252" s="13" customFormat="1" x14ac:dyDescent="0.3">
      <c r="A44" s="16" t="s">
        <v>51</v>
      </c>
      <c r="B44" s="58">
        <f>$B$34/6</f>
        <v>302.89855072463769</v>
      </c>
      <c r="C44" s="18" t="s">
        <v>62</v>
      </c>
      <c r="D44" s="13" t="s">
        <v>93</v>
      </c>
      <c r="E44" s="57"/>
      <c r="F44" s="57"/>
      <c r="G44" s="57"/>
      <c r="H44" s="57"/>
      <c r="I44" s="57"/>
      <c r="J44" s="57"/>
      <c r="K44" s="57"/>
      <c r="L44" s="57"/>
      <c r="M44" s="57">
        <f>$B$44/3</f>
        <v>100.96618357487922</v>
      </c>
      <c r="N44" s="57">
        <f t="shared" ref="N44:O49" si="57">$B$44/3</f>
        <v>100.96618357487922</v>
      </c>
      <c r="O44" s="57">
        <f t="shared" si="57"/>
        <v>100.96618357487922</v>
      </c>
      <c r="P44" s="57"/>
      <c r="Q44" s="57"/>
      <c r="R44" s="80">
        <f t="shared" si="8"/>
        <v>302.89855072463769</v>
      </c>
      <c r="IR44" s="9"/>
    </row>
    <row r="45" spans="1:252" s="13" customFormat="1" x14ac:dyDescent="0.3">
      <c r="A45" s="16" t="s">
        <v>51</v>
      </c>
      <c r="B45" s="58">
        <f t="shared" ref="B45:B49" si="58">$B$34/6</f>
        <v>302.89855072463769</v>
      </c>
      <c r="C45" s="18" t="s">
        <v>62</v>
      </c>
      <c r="D45" s="13" t="s">
        <v>94</v>
      </c>
      <c r="E45" s="57"/>
      <c r="F45" s="57"/>
      <c r="G45" s="57"/>
      <c r="H45" s="57"/>
      <c r="I45" s="57"/>
      <c r="J45" s="57"/>
      <c r="K45" s="57"/>
      <c r="L45" s="57"/>
      <c r="M45" s="57">
        <f t="shared" ref="M45:M49" si="59">$B$44/3</f>
        <v>100.96618357487922</v>
      </c>
      <c r="N45" s="57">
        <f t="shared" si="57"/>
        <v>100.96618357487922</v>
      </c>
      <c r="O45" s="57">
        <f t="shared" si="57"/>
        <v>100.96618357487922</v>
      </c>
      <c r="P45" s="57"/>
      <c r="Q45" s="57"/>
      <c r="R45" s="80">
        <f t="shared" si="8"/>
        <v>302.89855072463769</v>
      </c>
      <c r="IR45" s="9"/>
    </row>
    <row r="46" spans="1:252" s="13" customFormat="1" x14ac:dyDescent="0.3">
      <c r="A46" s="16" t="s">
        <v>51</v>
      </c>
      <c r="B46" s="58">
        <f t="shared" si="58"/>
        <v>302.89855072463769</v>
      </c>
      <c r="C46" s="18" t="s">
        <v>62</v>
      </c>
      <c r="D46" s="13" t="s">
        <v>95</v>
      </c>
      <c r="E46" s="57"/>
      <c r="F46" s="57"/>
      <c r="G46" s="57"/>
      <c r="H46" s="57"/>
      <c r="I46" s="57"/>
      <c r="J46" s="57"/>
      <c r="K46" s="57"/>
      <c r="L46" s="57"/>
      <c r="M46" s="57">
        <f t="shared" si="59"/>
        <v>100.96618357487922</v>
      </c>
      <c r="N46" s="57">
        <f t="shared" si="57"/>
        <v>100.96618357487922</v>
      </c>
      <c r="O46" s="57">
        <f t="shared" si="57"/>
        <v>100.96618357487922</v>
      </c>
      <c r="P46" s="57"/>
      <c r="Q46" s="57"/>
      <c r="R46" s="80">
        <f t="shared" si="8"/>
        <v>302.89855072463769</v>
      </c>
      <c r="IR46" s="9"/>
    </row>
    <row r="47" spans="1:252" s="13" customFormat="1" x14ac:dyDescent="0.3">
      <c r="A47" s="16" t="s">
        <v>51</v>
      </c>
      <c r="B47" s="58">
        <f t="shared" si="58"/>
        <v>302.89855072463769</v>
      </c>
      <c r="C47" s="18" t="s">
        <v>62</v>
      </c>
      <c r="D47" s="13" t="s">
        <v>96</v>
      </c>
      <c r="E47" s="57"/>
      <c r="F47" s="57"/>
      <c r="G47" s="57"/>
      <c r="H47" s="57"/>
      <c r="I47" s="57"/>
      <c r="J47" s="57"/>
      <c r="K47" s="57"/>
      <c r="L47" s="57"/>
      <c r="M47" s="57">
        <f t="shared" si="59"/>
        <v>100.96618357487922</v>
      </c>
      <c r="N47" s="57">
        <f t="shared" si="57"/>
        <v>100.96618357487922</v>
      </c>
      <c r="O47" s="57">
        <f t="shared" si="57"/>
        <v>100.96618357487922</v>
      </c>
      <c r="P47" s="57"/>
      <c r="Q47" s="57"/>
      <c r="R47" s="80">
        <f t="shared" si="8"/>
        <v>302.89855072463769</v>
      </c>
      <c r="IR47" s="9"/>
    </row>
    <row r="48" spans="1:252" s="13" customFormat="1" x14ac:dyDescent="0.3">
      <c r="A48" s="16" t="s">
        <v>51</v>
      </c>
      <c r="B48" s="58">
        <f t="shared" si="58"/>
        <v>302.89855072463769</v>
      </c>
      <c r="C48" s="18" t="s">
        <v>62</v>
      </c>
      <c r="D48" s="13" t="s">
        <v>97</v>
      </c>
      <c r="E48" s="57"/>
      <c r="F48" s="57"/>
      <c r="G48" s="57"/>
      <c r="H48" s="57"/>
      <c r="I48" s="57"/>
      <c r="J48" s="57"/>
      <c r="K48" s="57"/>
      <c r="L48" s="57"/>
      <c r="M48" s="57">
        <f t="shared" si="59"/>
        <v>100.96618357487922</v>
      </c>
      <c r="N48" s="57">
        <f t="shared" si="57"/>
        <v>100.96618357487922</v>
      </c>
      <c r="O48" s="57">
        <f t="shared" si="57"/>
        <v>100.96618357487922</v>
      </c>
      <c r="P48" s="57"/>
      <c r="Q48" s="57"/>
      <c r="R48" s="80">
        <f t="shared" si="8"/>
        <v>302.89855072463769</v>
      </c>
      <c r="IR48" s="9"/>
    </row>
    <row r="49" spans="1:252" s="13" customFormat="1" x14ac:dyDescent="0.3">
      <c r="A49" s="16" t="s">
        <v>51</v>
      </c>
      <c r="B49" s="58">
        <f t="shared" si="58"/>
        <v>302.89855072463769</v>
      </c>
      <c r="C49" s="18" t="s">
        <v>62</v>
      </c>
      <c r="D49" s="13" t="s">
        <v>98</v>
      </c>
      <c r="M49" s="57">
        <f t="shared" si="59"/>
        <v>100.96618357487922</v>
      </c>
      <c r="N49" s="57">
        <f t="shared" si="57"/>
        <v>100.96618357487922</v>
      </c>
      <c r="O49" s="57">
        <f t="shared" si="57"/>
        <v>100.96618357487922</v>
      </c>
      <c r="R49" s="80">
        <f t="shared" si="8"/>
        <v>302.89855072463769</v>
      </c>
      <c r="IR49" s="9"/>
    </row>
    <row r="50" spans="1:252" s="13" customFormat="1" x14ac:dyDescent="0.3">
      <c r="R50" s="14"/>
      <c r="IR50" s="9"/>
    </row>
    <row r="51" spans="1:252" s="13" customFormat="1" x14ac:dyDescent="0.3">
      <c r="A51" s="71" t="s">
        <v>99</v>
      </c>
      <c r="R51" s="14"/>
      <c r="IR51" s="9"/>
    </row>
    <row r="52" spans="1:252" s="13" customFormat="1" x14ac:dyDescent="0.3">
      <c r="R52" s="14"/>
      <c r="IR52" s="9"/>
    </row>
  </sheetData>
  <mergeCells count="1">
    <mergeCell ref="E1:Q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F1AA6C-A3A7-4ACD-B6B5-465CD4434AC4}">
  <dimension ref="A1:G7"/>
  <sheetViews>
    <sheetView workbookViewId="0">
      <selection activeCell="B2" sqref="B2"/>
    </sheetView>
  </sheetViews>
  <sheetFormatPr defaultRowHeight="14.4" x14ac:dyDescent="0.3"/>
  <cols>
    <col min="1" max="1" width="22.6640625" bestFit="1" customWidth="1"/>
    <col min="2" max="2" width="9.6640625" bestFit="1" customWidth="1"/>
    <col min="5" max="5" width="11.44140625" bestFit="1" customWidth="1"/>
    <col min="6" max="6" width="14" customWidth="1"/>
    <col min="7" max="7" width="77" bestFit="1" customWidth="1"/>
  </cols>
  <sheetData>
    <row r="1" spans="1:7" x14ac:dyDescent="0.3">
      <c r="A1" s="72" t="s">
        <v>58</v>
      </c>
      <c r="B1" s="73">
        <v>43889</v>
      </c>
    </row>
    <row r="2" spans="1:7" ht="28.8" x14ac:dyDescent="0.3">
      <c r="A2" s="66" t="s">
        <v>7</v>
      </c>
      <c r="B2" s="66" t="s">
        <v>45</v>
      </c>
      <c r="C2" s="66" t="s">
        <v>46</v>
      </c>
      <c r="D2" s="66" t="s">
        <v>53</v>
      </c>
      <c r="E2" s="74" t="s">
        <v>55</v>
      </c>
      <c r="F2" s="74" t="s">
        <v>56</v>
      </c>
      <c r="G2" s="66"/>
    </row>
    <row r="3" spans="1:7" x14ac:dyDescent="0.3">
      <c r="A3" s="72" t="s">
        <v>32</v>
      </c>
      <c r="B3" s="75">
        <f>'Enrollment Dashboard'!B3</f>
        <v>23681.823299596828</v>
      </c>
      <c r="C3" s="72"/>
      <c r="D3" s="76">
        <f>C3/B3</f>
        <v>0</v>
      </c>
      <c r="E3" s="81">
        <v>43709</v>
      </c>
      <c r="F3" s="81">
        <v>43951</v>
      </c>
      <c r="G3" s="72"/>
    </row>
    <row r="4" spans="1:7" x14ac:dyDescent="0.3">
      <c r="A4" s="72" t="s">
        <v>57</v>
      </c>
      <c r="B4" s="75">
        <f>'Enrollment Dashboard'!B10</f>
        <v>3292.3134093702656</v>
      </c>
      <c r="C4" s="66"/>
      <c r="D4" s="76">
        <f t="shared" ref="D4:D7" si="0">C4/B4</f>
        <v>0</v>
      </c>
      <c r="E4" s="81">
        <v>43709</v>
      </c>
      <c r="F4" s="81">
        <v>43982</v>
      </c>
      <c r="G4" s="66"/>
    </row>
    <row r="5" spans="1:7" x14ac:dyDescent="0.3">
      <c r="A5" s="72" t="s">
        <v>5</v>
      </c>
      <c r="B5" s="75">
        <f>'Enrollment Dashboard'!B22</f>
        <v>2257.2678157962437</v>
      </c>
      <c r="C5" s="66"/>
      <c r="D5" s="76">
        <f t="shared" si="0"/>
        <v>0</v>
      </c>
      <c r="E5" s="81">
        <v>43739</v>
      </c>
      <c r="F5" s="81">
        <v>44012</v>
      </c>
      <c r="G5" s="66"/>
    </row>
    <row r="6" spans="1:7" x14ac:dyDescent="0.3">
      <c r="A6" s="72" t="s">
        <v>54</v>
      </c>
      <c r="B6" s="75">
        <f>'Enrollment Dashboard'!B34</f>
        <v>1817.391304347826</v>
      </c>
      <c r="D6" s="76">
        <f t="shared" si="0"/>
        <v>0</v>
      </c>
      <c r="E6" s="82">
        <v>43952</v>
      </c>
      <c r="F6" s="82">
        <v>44013</v>
      </c>
      <c r="G6" s="72"/>
    </row>
    <row r="7" spans="1:7" x14ac:dyDescent="0.3">
      <c r="A7" t="s">
        <v>52</v>
      </c>
      <c r="B7" s="75">
        <f>'Enrollment Dashboard'!B37</f>
        <v>500</v>
      </c>
      <c r="D7" s="76">
        <f t="shared" si="0"/>
        <v>0</v>
      </c>
      <c r="E7" s="82">
        <v>44075</v>
      </c>
      <c r="F7" s="82">
        <v>44075</v>
      </c>
      <c r="G7" s="72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316EED-1054-4CA4-8674-69F9B72510B4}">
  <dimension ref="A1:AB6"/>
  <sheetViews>
    <sheetView zoomScaleNormal="100" workbookViewId="0">
      <selection activeCell="B19" sqref="B19"/>
    </sheetView>
  </sheetViews>
  <sheetFormatPr defaultColWidth="8.88671875" defaultRowHeight="14.4" x14ac:dyDescent="0.3"/>
  <cols>
    <col min="1" max="1" width="30.44140625" bestFit="1" customWidth="1"/>
    <col min="3" max="3" width="9.6640625" bestFit="1" customWidth="1"/>
  </cols>
  <sheetData>
    <row r="1" spans="1:28" ht="16.2" thickBot="1" x14ac:dyDescent="0.35">
      <c r="A1" s="65" t="s">
        <v>44</v>
      </c>
      <c r="B1" s="65" t="s">
        <v>87</v>
      </c>
    </row>
    <row r="2" spans="1:28" x14ac:dyDescent="0.3">
      <c r="C2" s="102">
        <v>43738</v>
      </c>
      <c r="D2" s="103"/>
      <c r="E2" s="102">
        <v>43769</v>
      </c>
      <c r="F2" s="104"/>
      <c r="G2" s="102">
        <v>43799</v>
      </c>
      <c r="H2" s="103"/>
      <c r="I2" s="102">
        <v>43830</v>
      </c>
      <c r="J2" s="104"/>
      <c r="K2" s="102">
        <v>43861</v>
      </c>
      <c r="L2" s="103"/>
      <c r="M2" s="102">
        <v>43890</v>
      </c>
      <c r="N2" s="104"/>
      <c r="O2" s="102">
        <v>43921</v>
      </c>
      <c r="P2" s="103"/>
      <c r="Q2" s="102">
        <v>43951</v>
      </c>
      <c r="R2" s="104"/>
      <c r="S2" s="102">
        <v>43982</v>
      </c>
      <c r="T2" s="103"/>
      <c r="U2" s="102">
        <v>44012</v>
      </c>
      <c r="V2" s="104"/>
      <c r="W2" s="102">
        <v>44043</v>
      </c>
      <c r="X2" s="103"/>
      <c r="Y2" s="102">
        <v>44074</v>
      </c>
      <c r="Z2" s="104"/>
      <c r="AA2" s="102">
        <v>44104</v>
      </c>
      <c r="AB2" s="103"/>
    </row>
    <row r="3" spans="1:28" x14ac:dyDescent="0.3">
      <c r="A3" s="66" t="s">
        <v>7</v>
      </c>
      <c r="C3" s="67" t="s">
        <v>45</v>
      </c>
      <c r="D3" s="68" t="s">
        <v>46</v>
      </c>
      <c r="E3" s="67"/>
      <c r="F3" s="68"/>
      <c r="G3" s="67"/>
      <c r="H3" s="68"/>
      <c r="I3" s="67"/>
      <c r="J3" s="68"/>
      <c r="K3" s="67"/>
      <c r="L3" s="68"/>
      <c r="M3" s="67"/>
      <c r="N3" s="68"/>
      <c r="O3" s="67"/>
      <c r="P3" s="68"/>
      <c r="Q3" s="67"/>
      <c r="R3" s="68"/>
      <c r="S3" s="67"/>
      <c r="T3" s="68"/>
      <c r="U3" s="67"/>
      <c r="V3" s="68"/>
      <c r="W3" s="67"/>
      <c r="X3" s="68"/>
      <c r="Y3" s="67"/>
      <c r="Z3" s="68"/>
      <c r="AA3" s="67"/>
      <c r="AB3" s="68"/>
    </row>
    <row r="4" spans="1:28" x14ac:dyDescent="0.3">
      <c r="A4" s="83" t="s">
        <v>86</v>
      </c>
      <c r="C4" s="61">
        <f>'Enrollment Dashboard'!E11</f>
        <v>263.13136999552029</v>
      </c>
      <c r="D4" s="60"/>
      <c r="E4" s="61">
        <f>'Enrollment Dashboard'!F11</f>
        <v>986.74263748320118</v>
      </c>
      <c r="F4" s="60"/>
      <c r="G4" s="61">
        <f>'Enrollment Dashboard'!G11</f>
        <v>1315.6568499776015</v>
      </c>
      <c r="H4" s="60"/>
      <c r="I4" s="61">
        <f>'Enrollment Dashboard'!H11</f>
        <v>789.39410998656092</v>
      </c>
      <c r="J4" s="60"/>
      <c r="K4" s="61">
        <f>'Enrollment Dashboard'!I11</f>
        <v>197.34852749664023</v>
      </c>
      <c r="L4" s="60"/>
      <c r="M4" s="61">
        <f>'Enrollment Dashboard'!J11</f>
        <v>197.34852749664023</v>
      </c>
      <c r="N4" s="60"/>
      <c r="O4" s="61">
        <f>'Enrollment Dashboard'!K11</f>
        <v>157.8788219973122</v>
      </c>
      <c r="P4" s="60"/>
      <c r="Q4" s="61">
        <f>'Enrollment Dashboard'!L11</f>
        <v>39.469705499328029</v>
      </c>
      <c r="R4" s="60"/>
      <c r="S4" s="59"/>
      <c r="T4" s="60"/>
      <c r="U4" s="59"/>
      <c r="V4" s="60"/>
      <c r="W4" s="59"/>
      <c r="X4" s="60"/>
      <c r="Y4" s="59"/>
      <c r="Z4" s="60"/>
      <c r="AA4" s="59"/>
      <c r="AB4" s="60"/>
    </row>
    <row r="5" spans="1:28" x14ac:dyDescent="0.3">
      <c r="A5" s="83" t="s">
        <v>47</v>
      </c>
      <c r="C5" s="61">
        <f>'Enrollment Dashboard'!F27</f>
        <v>25.080753508847149</v>
      </c>
      <c r="D5" s="60"/>
      <c r="E5" s="61">
        <f>'Enrollment Dashboard'!G27</f>
        <v>75.242260526541457</v>
      </c>
      <c r="F5" s="60"/>
      <c r="G5" s="61">
        <f>'Enrollment Dashboard'!H27</f>
        <v>53.744471804672465</v>
      </c>
      <c r="H5" s="60"/>
      <c r="I5" s="61">
        <f>'Enrollment Dashboard'!I27</f>
        <v>62.701883772117874</v>
      </c>
      <c r="J5" s="60"/>
      <c r="K5" s="61">
        <f>'Enrollment Dashboard'!I27</f>
        <v>62.701883772117874</v>
      </c>
      <c r="L5" s="60"/>
      <c r="M5" s="61">
        <f>'Enrollment Dashboard'!J27</f>
        <v>62.701883772117874</v>
      </c>
      <c r="N5" s="60"/>
      <c r="O5" s="61">
        <f>'Enrollment Dashboard'!K27</f>
        <v>41.801255848078583</v>
      </c>
      <c r="P5" s="60"/>
      <c r="Q5" s="61">
        <f>'Enrollment Dashboard'!L27</f>
        <v>34.201027512064293</v>
      </c>
      <c r="R5" s="60"/>
      <c r="S5" s="61">
        <f>'Enrollment Dashboard'!M27</f>
        <v>18.810565131635364</v>
      </c>
      <c r="T5" s="60"/>
      <c r="U5" s="61">
        <f>'Enrollment Dashboard'!N27</f>
        <v>1.9272007566322031</v>
      </c>
      <c r="V5" s="60"/>
      <c r="W5" s="59"/>
      <c r="X5" s="60"/>
      <c r="Y5" s="59"/>
      <c r="Z5" s="60"/>
      <c r="AA5" s="59"/>
      <c r="AB5" s="60"/>
    </row>
    <row r="6" spans="1:28" ht="15" thickBot="1" x14ac:dyDescent="0.35">
      <c r="A6" s="83" t="s">
        <v>48</v>
      </c>
      <c r="C6" s="62"/>
      <c r="D6" s="63"/>
      <c r="E6" s="62"/>
      <c r="F6" s="63"/>
      <c r="G6" s="62"/>
      <c r="H6" s="63"/>
      <c r="I6" s="62"/>
      <c r="J6" s="63"/>
      <c r="K6" s="62"/>
      <c r="L6" s="63"/>
      <c r="M6" s="62"/>
      <c r="N6" s="63"/>
      <c r="O6" s="64"/>
      <c r="P6" s="63"/>
      <c r="Q6" s="64"/>
      <c r="R6" s="63"/>
      <c r="S6" s="64">
        <f>'Enrollment Dashboard'!M49</f>
        <v>100.96618357487922</v>
      </c>
      <c r="T6" s="63"/>
      <c r="U6" s="64">
        <f>'Enrollment Dashboard'!N49</f>
        <v>100.96618357487922</v>
      </c>
      <c r="V6" s="63"/>
      <c r="W6" s="64">
        <f>'Enrollment Dashboard'!O49</f>
        <v>100.96618357487922</v>
      </c>
      <c r="X6" s="63"/>
      <c r="Y6" s="62"/>
      <c r="Z6" s="63"/>
      <c r="AA6" s="62"/>
      <c r="AB6" s="63"/>
    </row>
  </sheetData>
  <mergeCells count="13">
    <mergeCell ref="M2:N2"/>
    <mergeCell ref="C2:D2"/>
    <mergeCell ref="E2:F2"/>
    <mergeCell ref="G2:H2"/>
    <mergeCell ref="I2:J2"/>
    <mergeCell ref="K2:L2"/>
    <mergeCell ref="AA2:AB2"/>
    <mergeCell ref="O2:P2"/>
    <mergeCell ref="Q2:R2"/>
    <mergeCell ref="S2:T2"/>
    <mergeCell ref="U2:V2"/>
    <mergeCell ref="W2:X2"/>
    <mergeCell ref="Y2:Z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56"/>
  <sheetViews>
    <sheetView topLeftCell="A31" zoomScaleNormal="100" workbookViewId="0">
      <selection activeCell="F12" sqref="F12"/>
    </sheetView>
  </sheetViews>
  <sheetFormatPr defaultColWidth="9.109375" defaultRowHeight="15.6" x14ac:dyDescent="0.3"/>
  <cols>
    <col min="1" max="1" width="83.44140625" style="9" bestFit="1" customWidth="1"/>
    <col min="2" max="2" width="9" style="9" bestFit="1" customWidth="1"/>
    <col min="3" max="3" width="9" style="9" customWidth="1"/>
    <col min="4" max="4" width="7.109375" style="9" bestFit="1" customWidth="1"/>
    <col min="5" max="5" width="3.44140625" style="9" bestFit="1" customWidth="1"/>
    <col min="6" max="6" width="79.44140625" style="9" bestFit="1" customWidth="1"/>
    <col min="7" max="16384" width="9.109375" style="9"/>
  </cols>
  <sheetData>
    <row r="1" spans="1:6" x14ac:dyDescent="0.3">
      <c r="A1" s="45" t="s">
        <v>22</v>
      </c>
      <c r="B1" s="105"/>
      <c r="C1" s="106"/>
      <c r="D1" s="106"/>
      <c r="E1" s="106"/>
      <c r="F1" s="107"/>
    </row>
    <row r="2" spans="1:6" x14ac:dyDescent="0.3">
      <c r="A2" s="1" t="s">
        <v>0</v>
      </c>
      <c r="B2" s="1" t="s">
        <v>1</v>
      </c>
      <c r="C2" s="38"/>
      <c r="D2" s="47" t="s">
        <v>2</v>
      </c>
      <c r="E2" s="39"/>
      <c r="F2" s="3"/>
    </row>
    <row r="3" spans="1:6" x14ac:dyDescent="0.3">
      <c r="A3" s="94" t="s">
        <v>8</v>
      </c>
      <c r="B3" s="95"/>
      <c r="C3" s="96"/>
      <c r="D3" s="96"/>
      <c r="E3" s="96"/>
      <c r="F3" s="97"/>
    </row>
    <row r="4" spans="1:6" x14ac:dyDescent="0.3">
      <c r="A4" s="2" t="s">
        <v>3</v>
      </c>
      <c r="B4" s="7">
        <v>400</v>
      </c>
      <c r="C4" s="33" t="s">
        <v>26</v>
      </c>
      <c r="D4" s="20">
        <v>0.25</v>
      </c>
      <c r="E4" s="21" t="s">
        <v>4</v>
      </c>
      <c r="F4" s="6" t="str">
        <f>A5</f>
        <v>Admits - Acceptances</v>
      </c>
    </row>
    <row r="5" spans="1:6" x14ac:dyDescent="0.3">
      <c r="A5" s="2" t="s">
        <v>9</v>
      </c>
      <c r="B5" s="7">
        <f>B4/D4</f>
        <v>1600</v>
      </c>
      <c r="C5" s="33" t="s">
        <v>26</v>
      </c>
      <c r="D5" s="20">
        <v>0.8</v>
      </c>
      <c r="E5" s="21" t="s">
        <v>4</v>
      </c>
      <c r="F5" s="6" t="str">
        <f t="shared" ref="F5" si="0">A6</f>
        <v>Completed Applications</v>
      </c>
    </row>
    <row r="6" spans="1:6" x14ac:dyDescent="0.3">
      <c r="A6" s="2" t="s">
        <v>5</v>
      </c>
      <c r="B6" s="7">
        <f>B5/D5</f>
        <v>2000</v>
      </c>
      <c r="C6" s="33" t="s">
        <v>26</v>
      </c>
      <c r="D6" s="20">
        <v>0.72</v>
      </c>
      <c r="E6" s="21" t="s">
        <v>4</v>
      </c>
      <c r="F6" s="6" t="str">
        <f>A7</f>
        <v>Gross Applications</v>
      </c>
    </row>
    <row r="7" spans="1:6" x14ac:dyDescent="0.3">
      <c r="A7" s="19" t="s">
        <v>20</v>
      </c>
      <c r="B7" s="23">
        <f>B6/D6</f>
        <v>2777.7777777777778</v>
      </c>
      <c r="C7" s="28"/>
      <c r="D7" s="12"/>
      <c r="E7" s="12"/>
      <c r="F7" s="12"/>
    </row>
    <row r="8" spans="1:6" x14ac:dyDescent="0.3">
      <c r="A8" s="22" t="s">
        <v>21</v>
      </c>
      <c r="B8" s="29">
        <f>B12*D8</f>
        <v>1861.1111111111111</v>
      </c>
      <c r="C8" s="33" t="s">
        <v>26</v>
      </c>
      <c r="D8" s="20">
        <v>0.1</v>
      </c>
      <c r="E8" s="21" t="s">
        <v>4</v>
      </c>
      <c r="F8" s="6" t="str">
        <f>A12</f>
        <v>Total Inquiries Needed other than Stealth apps (phone, email, website, test score)</v>
      </c>
    </row>
    <row r="9" spans="1:6" x14ac:dyDescent="0.3">
      <c r="A9" s="25" t="s">
        <v>12</v>
      </c>
      <c r="B9" s="23">
        <f>B13</f>
        <v>916.66666666666674</v>
      </c>
      <c r="C9" s="40"/>
      <c r="D9" s="30"/>
      <c r="E9" s="31"/>
      <c r="F9" s="32"/>
    </row>
    <row r="10" spans="1:6" x14ac:dyDescent="0.3">
      <c r="A10" s="42"/>
      <c r="B10" s="28"/>
      <c r="C10" s="28"/>
      <c r="D10" s="30"/>
      <c r="E10" s="31"/>
      <c r="F10" s="32"/>
    </row>
    <row r="11" spans="1:6" x14ac:dyDescent="0.3">
      <c r="A11" s="91" t="s">
        <v>43</v>
      </c>
      <c r="B11" s="91"/>
      <c r="C11" s="91"/>
      <c r="D11" s="91"/>
      <c r="E11" s="91"/>
      <c r="F11" s="91"/>
    </row>
    <row r="12" spans="1:6" x14ac:dyDescent="0.3">
      <c r="A12" s="4" t="s">
        <v>27</v>
      </c>
      <c r="B12" s="5">
        <f>(B7-B13)/D8</f>
        <v>18611.111111111109</v>
      </c>
      <c r="C12" s="41"/>
      <c r="D12" s="12"/>
      <c r="E12" s="11"/>
      <c r="F12" s="11"/>
    </row>
    <row r="13" spans="1:6" x14ac:dyDescent="0.3">
      <c r="A13" s="8" t="s">
        <v>28</v>
      </c>
      <c r="B13" s="7">
        <f>B7*0.33</f>
        <v>916.66666666666674</v>
      </c>
      <c r="C13" s="41"/>
      <c r="D13" s="12"/>
      <c r="E13" s="11"/>
      <c r="F13" s="11"/>
    </row>
    <row r="15" spans="1:6" x14ac:dyDescent="0.3">
      <c r="A15" s="45" t="s">
        <v>23</v>
      </c>
      <c r="B15" s="105"/>
      <c r="C15" s="106"/>
      <c r="D15" s="106"/>
      <c r="E15" s="106"/>
      <c r="F15" s="107"/>
    </row>
    <row r="16" spans="1:6" x14ac:dyDescent="0.3">
      <c r="A16" s="1" t="s">
        <v>0</v>
      </c>
      <c r="B16" s="1" t="s">
        <v>1</v>
      </c>
      <c r="C16" s="38"/>
      <c r="D16" s="47" t="s">
        <v>2</v>
      </c>
      <c r="E16" s="39"/>
      <c r="F16" s="3"/>
    </row>
    <row r="17" spans="1:6" x14ac:dyDescent="0.3">
      <c r="A17" s="92" t="s">
        <v>8</v>
      </c>
      <c r="B17" s="92"/>
      <c r="C17" s="93"/>
      <c r="D17" s="93"/>
      <c r="E17" s="93"/>
      <c r="F17" s="93"/>
    </row>
    <row r="18" spans="1:6" x14ac:dyDescent="0.3">
      <c r="A18" s="4" t="s">
        <v>3</v>
      </c>
      <c r="B18" s="7">
        <v>100</v>
      </c>
      <c r="C18" s="33" t="s">
        <v>26</v>
      </c>
      <c r="D18" s="20">
        <v>0.46</v>
      </c>
      <c r="E18" s="21" t="s">
        <v>4</v>
      </c>
      <c r="F18" s="6" t="str">
        <f>A19</f>
        <v>Admits - Acceptances</v>
      </c>
    </row>
    <row r="19" spans="1:6" x14ac:dyDescent="0.3">
      <c r="A19" s="4" t="s">
        <v>9</v>
      </c>
      <c r="B19" s="7">
        <f>B18/D18</f>
        <v>217.39130434782606</v>
      </c>
      <c r="C19" s="33" t="s">
        <v>26</v>
      </c>
      <c r="D19" s="20">
        <v>0.84499999999999997</v>
      </c>
      <c r="E19" s="21" t="s">
        <v>4</v>
      </c>
      <c r="F19" s="6" t="str">
        <f t="shared" ref="F19:F20" si="1">A20</f>
        <v>Completed Applications</v>
      </c>
    </row>
    <row r="20" spans="1:6" x14ac:dyDescent="0.3">
      <c r="A20" s="4" t="s">
        <v>5</v>
      </c>
      <c r="B20" s="7">
        <f>B19/D19</f>
        <v>257.26781579624389</v>
      </c>
      <c r="C20" s="33" t="s">
        <v>26</v>
      </c>
      <c r="D20" s="20">
        <v>0.64</v>
      </c>
      <c r="E20" s="21" t="s">
        <v>4</v>
      </c>
      <c r="F20" s="6" t="str">
        <f t="shared" si="1"/>
        <v>Gross Applications</v>
      </c>
    </row>
    <row r="21" spans="1:6" x14ac:dyDescent="0.3">
      <c r="A21" s="24" t="s">
        <v>20</v>
      </c>
      <c r="B21" s="23">
        <f>B20/D20</f>
        <v>401.98096218163107</v>
      </c>
      <c r="C21" s="28"/>
      <c r="D21" s="12"/>
      <c r="E21" s="12"/>
      <c r="F21" s="12"/>
    </row>
    <row r="22" spans="1:6" x14ac:dyDescent="0.3">
      <c r="A22" s="25" t="s">
        <v>21</v>
      </c>
      <c r="B22" s="29">
        <f>B26*D22</f>
        <v>279.37676871623358</v>
      </c>
      <c r="C22" s="33" t="s">
        <v>26</v>
      </c>
      <c r="D22" s="20">
        <v>0.245</v>
      </c>
      <c r="E22" s="21" t="s">
        <v>4</v>
      </c>
      <c r="F22" s="6" t="str">
        <f>A26</f>
        <v>Total Inquiries Needed other than Stealth apps (phone, email, website, test score)</v>
      </c>
    </row>
    <row r="23" spans="1:6" x14ac:dyDescent="0.3">
      <c r="A23" s="25" t="s">
        <v>12</v>
      </c>
      <c r="B23" s="23">
        <f>B27</f>
        <v>122.60419346539747</v>
      </c>
      <c r="C23" s="28"/>
      <c r="D23" s="30"/>
      <c r="E23" s="31"/>
      <c r="F23" s="32"/>
    </row>
    <row r="24" spans="1:6" x14ac:dyDescent="0.3">
      <c r="A24" s="42"/>
      <c r="B24" s="28"/>
      <c r="C24" s="28"/>
      <c r="D24" s="30"/>
      <c r="E24" s="31"/>
      <c r="F24" s="32"/>
    </row>
    <row r="25" spans="1:6" x14ac:dyDescent="0.3">
      <c r="A25" s="91" t="s">
        <v>43</v>
      </c>
      <c r="B25" s="91"/>
      <c r="C25" s="91"/>
      <c r="D25" s="91"/>
      <c r="E25" s="91"/>
      <c r="F25" s="91"/>
    </row>
    <row r="26" spans="1:6" x14ac:dyDescent="0.3">
      <c r="A26" s="4" t="s">
        <v>27</v>
      </c>
      <c r="B26" s="5">
        <f>(B21-B27)/D22</f>
        <v>1140.3133416989126</v>
      </c>
      <c r="C26" s="11"/>
      <c r="D26" s="12"/>
      <c r="E26" s="11"/>
      <c r="F26" s="11"/>
    </row>
    <row r="27" spans="1:6" x14ac:dyDescent="0.3">
      <c r="A27" s="8" t="s">
        <v>29</v>
      </c>
      <c r="B27" s="5">
        <f>B21*0.305</f>
        <v>122.60419346539747</v>
      </c>
      <c r="C27" s="11"/>
      <c r="D27" s="12"/>
      <c r="E27" s="11"/>
      <c r="F27" s="11"/>
    </row>
    <row r="28" spans="1:6" x14ac:dyDescent="0.3">
      <c r="A28" s="10"/>
      <c r="B28" s="11"/>
      <c r="C28" s="11"/>
      <c r="D28" s="12"/>
      <c r="E28" s="11"/>
      <c r="F28" s="11"/>
    </row>
    <row r="30" spans="1:6" x14ac:dyDescent="0.3">
      <c r="A30" s="26" t="s">
        <v>24</v>
      </c>
      <c r="B30" s="108"/>
      <c r="C30" s="108"/>
      <c r="D30" s="108"/>
      <c r="E30" s="108"/>
      <c r="F30" s="108"/>
    </row>
    <row r="31" spans="1:6" x14ac:dyDescent="0.3">
      <c r="A31" s="1" t="s">
        <v>0</v>
      </c>
      <c r="B31" s="1" t="s">
        <v>1</v>
      </c>
      <c r="C31" s="38"/>
      <c r="D31" s="47" t="s">
        <v>2</v>
      </c>
      <c r="E31" s="39"/>
      <c r="F31" s="3"/>
    </row>
    <row r="32" spans="1:6" x14ac:dyDescent="0.3">
      <c r="A32" s="92" t="s">
        <v>8</v>
      </c>
      <c r="B32" s="92"/>
      <c r="C32" s="93"/>
      <c r="D32" s="93"/>
      <c r="E32" s="93"/>
      <c r="F32" s="93"/>
    </row>
    <row r="33" spans="1:6" x14ac:dyDescent="0.3">
      <c r="A33" s="4" t="s">
        <v>3</v>
      </c>
      <c r="B33" s="7">
        <v>400</v>
      </c>
      <c r="C33" s="33" t="s">
        <v>26</v>
      </c>
      <c r="D33" s="20">
        <v>0.32</v>
      </c>
      <c r="E33" s="21" t="s">
        <v>4</v>
      </c>
      <c r="F33" s="6" t="str">
        <f>A34</f>
        <v>Admits - Acceptances</v>
      </c>
    </row>
    <row r="34" spans="1:6" x14ac:dyDescent="0.3">
      <c r="A34" s="4" t="s">
        <v>9</v>
      </c>
      <c r="B34" s="7">
        <f>B33/D33</f>
        <v>1250</v>
      </c>
      <c r="C34" s="33" t="s">
        <v>26</v>
      </c>
      <c r="D34" s="20">
        <v>0.79</v>
      </c>
      <c r="E34" s="21" t="s">
        <v>4</v>
      </c>
      <c r="F34" s="6" t="str">
        <f t="shared" ref="F34:F35" si="2">A35</f>
        <v>Completed Applications</v>
      </c>
    </row>
    <row r="35" spans="1:6" x14ac:dyDescent="0.3">
      <c r="A35" s="4" t="s">
        <v>5</v>
      </c>
      <c r="B35" s="7">
        <f>B34/D34</f>
        <v>1582.2784810126582</v>
      </c>
      <c r="C35" s="33" t="s">
        <v>26</v>
      </c>
      <c r="D35" s="20">
        <v>0.875</v>
      </c>
      <c r="E35" s="21" t="s">
        <v>4</v>
      </c>
      <c r="F35" s="6" t="str">
        <f t="shared" si="2"/>
        <v>Gross Applications</v>
      </c>
    </row>
    <row r="36" spans="1:6" x14ac:dyDescent="0.3">
      <c r="A36" s="24" t="s">
        <v>20</v>
      </c>
      <c r="B36" s="23">
        <f>B35/D35</f>
        <v>1808.3182640144664</v>
      </c>
      <c r="C36" s="28"/>
      <c r="D36" s="30"/>
      <c r="E36" s="31"/>
      <c r="F36" s="32"/>
    </row>
    <row r="37" spans="1:6" x14ac:dyDescent="0.3">
      <c r="A37" s="25" t="s">
        <v>21</v>
      </c>
      <c r="B37" s="23">
        <f>B41*D37</f>
        <v>1410.4882459312839</v>
      </c>
      <c r="C37" s="33" t="s">
        <v>26</v>
      </c>
      <c r="D37" s="20">
        <v>0.26</v>
      </c>
      <c r="E37" s="36" t="s">
        <v>10</v>
      </c>
      <c r="F37" s="37" t="str">
        <f>A41</f>
        <v>Total Inquiries Needed other than Stealth apps (phone, email, website, test score)</v>
      </c>
    </row>
    <row r="38" spans="1:6" x14ac:dyDescent="0.3">
      <c r="A38" s="25" t="s">
        <v>12</v>
      </c>
      <c r="B38" s="23">
        <f>B42</f>
        <v>397.83001808318261</v>
      </c>
      <c r="C38" s="28"/>
      <c r="D38" s="30"/>
      <c r="E38" s="34"/>
      <c r="F38" s="35"/>
    </row>
    <row r="39" spans="1:6" x14ac:dyDescent="0.3">
      <c r="A39" s="43"/>
      <c r="B39" s="43"/>
      <c r="C39" s="43"/>
      <c r="D39" s="30"/>
      <c r="E39" s="34"/>
      <c r="F39" s="35"/>
    </row>
    <row r="40" spans="1:6" x14ac:dyDescent="0.3">
      <c r="A40" s="109" t="s">
        <v>43</v>
      </c>
      <c r="B40" s="109"/>
      <c r="C40" s="109"/>
      <c r="D40" s="109"/>
      <c r="E40" s="109"/>
      <c r="F40" s="109"/>
    </row>
    <row r="41" spans="1:6" x14ac:dyDescent="0.3">
      <c r="A41" s="4" t="s">
        <v>27</v>
      </c>
      <c r="B41" s="5">
        <f>(B36-B42)/D37</f>
        <v>5424.9547920433997</v>
      </c>
      <c r="C41" s="11"/>
      <c r="D41" s="12"/>
      <c r="E41" s="11"/>
      <c r="F41" s="11"/>
    </row>
    <row r="42" spans="1:6" x14ac:dyDescent="0.3">
      <c r="A42" s="8" t="s">
        <v>30</v>
      </c>
      <c r="B42" s="5">
        <f>B36*0.22</f>
        <v>397.83001808318261</v>
      </c>
      <c r="C42" s="11"/>
      <c r="D42" s="12"/>
      <c r="E42" s="11"/>
      <c r="F42" s="11"/>
    </row>
    <row r="43" spans="1:6" x14ac:dyDescent="0.3">
      <c r="A43" s="10"/>
      <c r="B43" s="11"/>
      <c r="C43" s="11"/>
      <c r="D43" s="12"/>
      <c r="E43" s="11"/>
      <c r="F43" s="11"/>
    </row>
    <row r="44" spans="1:6" x14ac:dyDescent="0.3">
      <c r="A44" s="26" t="s">
        <v>25</v>
      </c>
      <c r="B44" s="108"/>
      <c r="C44" s="108"/>
      <c r="D44" s="108"/>
      <c r="E44" s="108"/>
      <c r="F44" s="108"/>
    </row>
    <row r="45" spans="1:6" x14ac:dyDescent="0.3">
      <c r="A45" s="1" t="s">
        <v>0</v>
      </c>
      <c r="B45" s="1" t="s">
        <v>1</v>
      </c>
      <c r="C45" s="38"/>
      <c r="D45" s="47" t="s">
        <v>2</v>
      </c>
      <c r="E45" s="39"/>
      <c r="F45" s="3"/>
    </row>
    <row r="46" spans="1:6" x14ac:dyDescent="0.3">
      <c r="A46" s="92" t="s">
        <v>8</v>
      </c>
      <c r="B46" s="92"/>
      <c r="C46" s="93"/>
      <c r="D46" s="93"/>
      <c r="E46" s="93"/>
      <c r="F46" s="93"/>
    </row>
    <row r="47" spans="1:6" x14ac:dyDescent="0.3">
      <c r="A47" s="4" t="s">
        <v>3</v>
      </c>
      <c r="B47" s="7">
        <v>100</v>
      </c>
      <c r="C47" s="33" t="s">
        <v>26</v>
      </c>
      <c r="D47" s="20">
        <v>0.6</v>
      </c>
      <c r="E47" s="21" t="s">
        <v>4</v>
      </c>
      <c r="F47" s="6" t="str">
        <f>A48</f>
        <v>Admits - Acceptances</v>
      </c>
    </row>
    <row r="48" spans="1:6" x14ac:dyDescent="0.3">
      <c r="A48" s="4" t="s">
        <v>9</v>
      </c>
      <c r="B48" s="7">
        <f>B47/D47</f>
        <v>166.66666666666669</v>
      </c>
      <c r="C48" s="33" t="s">
        <v>26</v>
      </c>
      <c r="D48" s="20">
        <v>0.8</v>
      </c>
      <c r="E48" s="21" t="s">
        <v>4</v>
      </c>
      <c r="F48" s="6" t="str">
        <f t="shared" ref="F48:F49" si="3">A49</f>
        <v>Completed Applications</v>
      </c>
    </row>
    <row r="49" spans="1:6" x14ac:dyDescent="0.3">
      <c r="A49" s="4" t="s">
        <v>5</v>
      </c>
      <c r="B49" s="7">
        <f>B48/D48</f>
        <v>208.33333333333334</v>
      </c>
      <c r="C49" s="33" t="s">
        <v>26</v>
      </c>
      <c r="D49" s="20">
        <v>0.75</v>
      </c>
      <c r="E49" s="21" t="s">
        <v>4</v>
      </c>
      <c r="F49" s="6" t="str">
        <f t="shared" si="3"/>
        <v>Gross Applications</v>
      </c>
    </row>
    <row r="50" spans="1:6" x14ac:dyDescent="0.3">
      <c r="A50" s="24" t="s">
        <v>20</v>
      </c>
      <c r="B50" s="23">
        <f>B49/D49</f>
        <v>277.77777777777777</v>
      </c>
      <c r="C50" s="28"/>
      <c r="D50" s="30"/>
      <c r="E50" s="31"/>
      <c r="F50" s="32"/>
    </row>
    <row r="51" spans="1:6" x14ac:dyDescent="0.3">
      <c r="A51" s="25" t="s">
        <v>21</v>
      </c>
      <c r="B51" s="23">
        <f>B50</f>
        <v>277.77777777777777</v>
      </c>
      <c r="C51" s="33" t="s">
        <v>26</v>
      </c>
      <c r="D51" s="20">
        <v>0.28000000000000003</v>
      </c>
      <c r="E51" s="36" t="s">
        <v>10</v>
      </c>
      <c r="F51" s="37" t="str">
        <f>A55</f>
        <v>Total Inquiries Needed other than Stealth apps (phone, email, website, test score)</v>
      </c>
    </row>
    <row r="52" spans="1:6" x14ac:dyDescent="0.3">
      <c r="A52" s="25" t="s">
        <v>12</v>
      </c>
      <c r="B52" s="27">
        <f>B56</f>
        <v>170.83333333333331</v>
      </c>
      <c r="C52" s="44"/>
      <c r="D52" s="30"/>
      <c r="E52" s="34"/>
      <c r="F52" s="35"/>
    </row>
    <row r="53" spans="1:6" x14ac:dyDescent="0.3">
      <c r="A53" s="43"/>
      <c r="B53" s="43"/>
      <c r="C53" s="43"/>
      <c r="D53" s="30"/>
      <c r="E53" s="34"/>
      <c r="F53" s="35"/>
    </row>
    <row r="54" spans="1:6" x14ac:dyDescent="0.3">
      <c r="A54" s="109" t="s">
        <v>43</v>
      </c>
      <c r="B54" s="109"/>
      <c r="C54" s="109"/>
      <c r="D54" s="109"/>
      <c r="E54" s="109"/>
      <c r="F54" s="109"/>
    </row>
    <row r="55" spans="1:6" x14ac:dyDescent="0.3">
      <c r="A55" s="4" t="s">
        <v>27</v>
      </c>
      <c r="B55" s="5">
        <f>B50/D51</f>
        <v>992.06349206349194</v>
      </c>
      <c r="C55" s="11"/>
      <c r="D55" s="12"/>
      <c r="E55" s="11"/>
      <c r="F55" s="11"/>
    </row>
    <row r="56" spans="1:6" x14ac:dyDescent="0.3">
      <c r="A56" s="8" t="s">
        <v>31</v>
      </c>
      <c r="B56" s="5">
        <f>B50*0.615</f>
        <v>170.83333333333331</v>
      </c>
      <c r="C56" s="11"/>
      <c r="D56" s="12"/>
      <c r="E56" s="11"/>
      <c r="F56" s="11"/>
    </row>
  </sheetData>
  <mergeCells count="12">
    <mergeCell ref="B1:F1"/>
    <mergeCell ref="B30:F30"/>
    <mergeCell ref="B44:F44"/>
    <mergeCell ref="A54:F54"/>
    <mergeCell ref="A32:F32"/>
    <mergeCell ref="A3:F3"/>
    <mergeCell ref="A11:F11"/>
    <mergeCell ref="A17:F17"/>
    <mergeCell ref="A25:F25"/>
    <mergeCell ref="A40:F40"/>
    <mergeCell ref="A46:F46"/>
    <mergeCell ref="B15:F1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Our College Goals</vt:lpstr>
      <vt:lpstr>Enrollment Dashboard</vt:lpstr>
      <vt:lpstr>Executive Dashboard</vt:lpstr>
      <vt:lpstr>Individual Recruiter</vt:lpstr>
      <vt:lpstr>Benchmark Rates</vt:lpstr>
    </vt:vector>
  </TitlesOfParts>
  <Company>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Android phone</dc:creator>
  <cp:lastModifiedBy>Marrs, Cynthia</cp:lastModifiedBy>
  <dcterms:created xsi:type="dcterms:W3CDTF">2019-02-04T21:09:48Z</dcterms:created>
  <dcterms:modified xsi:type="dcterms:W3CDTF">2019-08-01T18:36:19Z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